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789" activeTab="0"/>
  </bookViews>
  <sheets>
    <sheet name="Summary" sheetId="1" r:id="rId1"/>
    <sheet name="Players" sheetId="2" r:id="rId2"/>
    <sheet name="Adkisson" sheetId="3" r:id="rId3"/>
    <sheet name="Barton" sheetId="4" r:id="rId4"/>
    <sheet name="Becker" sheetId="5" r:id="rId5"/>
    <sheet name="Bellaire" sheetId="6" r:id="rId6"/>
    <sheet name="Berdie" sheetId="7" r:id="rId7"/>
    <sheet name="Boyd A" sheetId="8" r:id="rId8"/>
    <sheet name="Boyd C" sheetId="9" r:id="rId9"/>
    <sheet name="Cadmus" sheetId="10" r:id="rId10"/>
    <sheet name="Coenen" sheetId="11" r:id="rId11"/>
    <sheet name="Deffner" sheetId="12" r:id="rId12"/>
    <sheet name="Eggert" sheetId="13" r:id="rId13"/>
    <sheet name="Griswold" sheetId="14" r:id="rId14"/>
    <sheet name="Hunt" sheetId="15" r:id="rId15"/>
    <sheet name="Krenz" sheetId="16" r:id="rId16"/>
    <sheet name="Kuhn" sheetId="17" r:id="rId17"/>
    <sheet name="Losurdo" sheetId="18" r:id="rId18"/>
    <sheet name="Mehta" sheetId="19" r:id="rId19"/>
    <sheet name="Rittenhouse" sheetId="20" r:id="rId20"/>
    <sheet name="WoodfordB" sheetId="21" r:id="rId21"/>
    <sheet name="WoodfordW" sheetId="22" r:id="rId22"/>
  </sheets>
  <definedNames>
    <definedName name="_xlnm.Print_Area" localSheetId="0">'Summary'!$A$1:$V$45</definedName>
  </definedNames>
  <calcPr fullCalcOnLoad="1"/>
</workbook>
</file>

<file path=xl/sharedStrings.xml><?xml version="1.0" encoding="utf-8"?>
<sst xmlns="http://schemas.openxmlformats.org/spreadsheetml/2006/main" count="2841" uniqueCount="728">
  <si>
    <t>FOOTBALL  TEAM  SALARIES</t>
  </si>
  <si>
    <t>Team</t>
  </si>
  <si>
    <t>Net</t>
  </si>
  <si>
    <t>Tax</t>
  </si>
  <si>
    <t>Total</t>
  </si>
  <si>
    <t>Signed</t>
  </si>
  <si>
    <t>Salary</t>
  </si>
  <si>
    <t>Hyrum Hunt</t>
  </si>
  <si>
    <t>Kurt Krenz</t>
  </si>
  <si>
    <t>Andy Boyd</t>
  </si>
  <si>
    <t>Mike Kuhn</t>
  </si>
  <si>
    <t>Saumil Mehta</t>
  </si>
  <si>
    <t>Bill Woodford</t>
  </si>
  <si>
    <t>Dave Eggert</t>
  </si>
  <si>
    <t>Rob Barton</t>
  </si>
  <si>
    <t>Ben Woodford</t>
  </si>
  <si>
    <t>Ken Bellaire</t>
  </si>
  <si>
    <t>Jim Rittenhouse</t>
  </si>
  <si>
    <t>Dave Cadmus</t>
  </si>
  <si>
    <t>John Adkisson</t>
  </si>
  <si>
    <t>Mark Deffner</t>
  </si>
  <si>
    <t>Ray Berdie</t>
  </si>
  <si>
    <t>Cameron Boyd</t>
  </si>
  <si>
    <t>Joel Griswold</t>
  </si>
  <si>
    <t>Drew Becker</t>
  </si>
  <si>
    <t>Tim Coenen</t>
  </si>
  <si>
    <t>Summary</t>
  </si>
  <si>
    <t>Year</t>
  </si>
  <si>
    <t>Cap</t>
  </si>
  <si>
    <t>Total Points</t>
  </si>
  <si>
    <t>Tournament</t>
  </si>
  <si>
    <t>Weekly</t>
  </si>
  <si>
    <t>Net Salary</t>
  </si>
  <si>
    <t>1st</t>
  </si>
  <si>
    <t>5th</t>
  </si>
  <si>
    <t>2nd</t>
  </si>
  <si>
    <t>6th</t>
  </si>
  <si>
    <t>HI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</si>
  <si>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</si>
  <si>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</si>
  <si>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</si>
  <si>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</si>
  <si>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</si>
  <si>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</si>
  <si>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</si>
  <si>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</si>
  <si>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FOOTBALL  TEAM PLAYER BREAKDOWN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</si>
  <si>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</si>
  <si>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</si>
  <si>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</si>
  <si>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</si>
  <si>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</si>
  <si>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</si>
  <si>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</si>
  <si>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</si>
  <si>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</si>
  <si>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Players</t>
  </si>
  <si>
    <t>ACTIVE ROSTER</t>
  </si>
  <si>
    <t>Player</t>
  </si>
  <si>
    <t>Pos</t>
  </si>
  <si>
    <t>Acqrd</t>
  </si>
  <si>
    <t>Thru</t>
  </si>
  <si>
    <t>Coles, Laveranues</t>
  </si>
  <si>
    <t>Was</t>
  </si>
  <si>
    <t>FA</t>
  </si>
  <si>
    <t>Harrington, Joey</t>
  </si>
  <si>
    <t>Det</t>
  </si>
  <si>
    <t>Freeney, Dwight</t>
  </si>
  <si>
    <t>Ind</t>
  </si>
  <si>
    <t>Reed, Ed</t>
  </si>
  <si>
    <t>Bal</t>
  </si>
  <si>
    <t>Foster, DeShaun</t>
  </si>
  <si>
    <t>Car</t>
  </si>
  <si>
    <t>Phi</t>
  </si>
  <si>
    <t>Bailey, Boss</t>
  </si>
  <si>
    <t>Tomlinson, LaDanian</t>
  </si>
  <si>
    <t>SD</t>
  </si>
  <si>
    <t>Stl</t>
  </si>
  <si>
    <t>Sea</t>
  </si>
  <si>
    <t>Fitzgerald, Larry</t>
  </si>
  <si>
    <t>Ari</t>
  </si>
  <si>
    <t>Watts, Darius</t>
  </si>
  <si>
    <t>Den</t>
  </si>
  <si>
    <t>Smith, Will</t>
  </si>
  <si>
    <t>NO</t>
  </si>
  <si>
    <t>Minter, Mike</t>
  </si>
  <si>
    <t>Waive</t>
  </si>
  <si>
    <t>TRADE ADJUSTMENTS</t>
  </si>
  <si>
    <t>Players Traded</t>
  </si>
  <si>
    <t>Adj.</t>
  </si>
  <si>
    <t>Bryant, Antonio</t>
  </si>
  <si>
    <t>Dal</t>
  </si>
  <si>
    <t>Couch, Tim</t>
  </si>
  <si>
    <t>GB</t>
  </si>
  <si>
    <t>Griese, Brian</t>
  </si>
  <si>
    <t>TB</t>
  </si>
  <si>
    <t>Henson, Drew</t>
  </si>
  <si>
    <t>Boulware, Peter</t>
  </si>
  <si>
    <t>Buf</t>
  </si>
  <si>
    <t>Oak</t>
  </si>
  <si>
    <t>NYG</t>
  </si>
  <si>
    <t>Williams, Roy</t>
  </si>
  <si>
    <t>Williams, D.J.</t>
  </si>
  <si>
    <t>Johnson, Bryant</t>
  </si>
  <si>
    <t>Brooks, Aaron</t>
  </si>
  <si>
    <t>Staley, Duce</t>
  </si>
  <si>
    <t>Pit</t>
  </si>
  <si>
    <t>Patten, David</t>
  </si>
  <si>
    <t>NE</t>
  </si>
  <si>
    <t>Leftwich, Byron</t>
  </si>
  <si>
    <t>Jac</t>
  </si>
  <si>
    <t>Shockey, Jeremy</t>
  </si>
  <si>
    <t>Clemons, Charlie</t>
  </si>
  <si>
    <t>Hou</t>
  </si>
  <si>
    <t>Smith, Steve</t>
  </si>
  <si>
    <t>Jenkins, Michael</t>
  </si>
  <si>
    <t>Atl</t>
  </si>
  <si>
    <t>Parker, Samie</t>
  </si>
  <si>
    <t>KC</t>
  </si>
  <si>
    <t>Bruschi, Tedy</t>
  </si>
  <si>
    <t>Newman, Terrance</t>
  </si>
  <si>
    <t>Strahan, Michael</t>
  </si>
  <si>
    <t>Hall, Dante</t>
  </si>
  <si>
    <t>Woods, Jerome</t>
  </si>
  <si>
    <t>Kearse, Jevon</t>
  </si>
  <si>
    <t>Bailey, Champ</t>
  </si>
  <si>
    <t>Graham, Daniel</t>
  </si>
  <si>
    <t>Brown, Chris</t>
  </si>
  <si>
    <t>Ten</t>
  </si>
  <si>
    <t>Delhomme, Jake</t>
  </si>
  <si>
    <t>Jammer, Quentin</t>
  </si>
  <si>
    <t>Johnson, Ron</t>
  </si>
  <si>
    <t>Trufant, Marcus</t>
  </si>
  <si>
    <t>Smith, Musa</t>
  </si>
  <si>
    <t>Mitchell, Freddie</t>
  </si>
  <si>
    <t>Bledsoe, Drew</t>
  </si>
  <si>
    <t>Peterson, Mike</t>
  </si>
  <si>
    <t>Clark, Desmond</t>
  </si>
  <si>
    <t>Chi</t>
  </si>
  <si>
    <t>Henderson, Devery</t>
  </si>
  <si>
    <t>Stallworth, Donte</t>
  </si>
  <si>
    <t>Westbrook, Brian</t>
  </si>
  <si>
    <t>Taylor, Travis</t>
  </si>
  <si>
    <t>McGahee, Willis</t>
  </si>
  <si>
    <t>Fargas, Justin</t>
  </si>
  <si>
    <t>Feely, AJ</t>
  </si>
  <si>
    <t>Mia</t>
  </si>
  <si>
    <t>Chambers, Chris</t>
  </si>
  <si>
    <t>White, Dez</t>
  </si>
  <si>
    <t>Williams, Kevin</t>
  </si>
  <si>
    <t>Min</t>
  </si>
  <si>
    <t>Culpepper, Daunte</t>
  </si>
  <si>
    <t>Smith, Justin</t>
  </si>
  <si>
    <t>Cin</t>
  </si>
  <si>
    <t>Rhodes, Dominic</t>
  </si>
  <si>
    <t>Rogers, Shaun</t>
  </si>
  <si>
    <t>SF</t>
  </si>
  <si>
    <t>Dawkins, Brian</t>
  </si>
  <si>
    <t>Thomas, Dontarrious</t>
  </si>
  <si>
    <t>Engram, Bobby</t>
  </si>
  <si>
    <t>Russell, Brian</t>
  </si>
  <si>
    <t>Hambrick, Troy</t>
  </si>
  <si>
    <t>Boller, Kyle</t>
  </si>
  <si>
    <t>Joppru, Bennie</t>
  </si>
  <si>
    <t>Johnson, Doug</t>
  </si>
  <si>
    <t>Vick, Michael</t>
  </si>
  <si>
    <t>Owens, Terrell</t>
  </si>
  <si>
    <t>Rucker, Mike</t>
  </si>
  <si>
    <t>Kearney, Pat</t>
  </si>
  <si>
    <t>NYJ</t>
  </si>
  <si>
    <t>Jones, Kevin</t>
  </si>
  <si>
    <t>Udeze, Kenechi</t>
  </si>
  <si>
    <t>Johnson, Chad</t>
  </si>
  <si>
    <t>Lelie, Ashlie</t>
  </si>
  <si>
    <t>Hollings, Tony</t>
  </si>
  <si>
    <t>Caldwell, Reche</t>
  </si>
  <si>
    <t>Witten, Jason</t>
  </si>
  <si>
    <t>Burress, Plaxico</t>
  </si>
  <si>
    <t>Abraham, John</t>
  </si>
  <si>
    <t>Ogunleye, Adewale</t>
  </si>
  <si>
    <t>Jordan, Lamont</t>
  </si>
  <si>
    <t>Little, Leonard</t>
  </si>
  <si>
    <t>Hartwell, Edgerton</t>
  </si>
  <si>
    <t>Manning, Eli</t>
  </si>
  <si>
    <t>Wilson, Quincy</t>
  </si>
  <si>
    <t>Peterson, Julian</t>
  </si>
  <si>
    <t>Williams, Ricky</t>
  </si>
  <si>
    <t>Collins, Kerry</t>
  </si>
  <si>
    <t>Toefield, Labrandon</t>
  </si>
  <si>
    <t>Tinoisamoa, Pisa</t>
  </si>
  <si>
    <t>Robinson, Koren</t>
  </si>
  <si>
    <t>Green, Trent</t>
  </si>
  <si>
    <t>Wayne, Reggie</t>
  </si>
  <si>
    <t>Vanderjagt, Mike</t>
  </si>
  <si>
    <t>Claiborne, Chris</t>
  </si>
  <si>
    <t>Jones, Greg</t>
  </si>
  <si>
    <t>Colbert, Keary</t>
  </si>
  <si>
    <t>Dillon, Corey</t>
  </si>
  <si>
    <t>Lewis, Jamal</t>
  </si>
  <si>
    <t>Ramsey, Patrick</t>
  </si>
  <si>
    <t>Sharper, Darren</t>
  </si>
  <si>
    <t>Gordon, Lamar</t>
  </si>
  <si>
    <t>Colvin, Roosevelt</t>
  </si>
  <si>
    <t>Barber, Ronde</t>
  </si>
  <si>
    <t>Bennett, Drew</t>
  </si>
  <si>
    <t>Mare, Olindo</t>
  </si>
  <si>
    <t>Warrick, Peter</t>
  </si>
  <si>
    <t>Barnett, Nick</t>
  </si>
  <si>
    <t>Hardy, Kevin</t>
  </si>
  <si>
    <t>Bartee, William</t>
  </si>
  <si>
    <t>Roethlisberger, Ben</t>
  </si>
  <si>
    <t>Robinson, Dunta</t>
  </si>
  <si>
    <t>Jolley, Doug</t>
  </si>
  <si>
    <t>Clark, Dallas</t>
  </si>
  <si>
    <t>Johnson, Andre</t>
  </si>
  <si>
    <t>Jones, Julius</t>
  </si>
  <si>
    <t>Darling, Devard</t>
  </si>
  <si>
    <t>McNabb, Donovan</t>
  </si>
  <si>
    <t>Barber, Tiki</t>
  </si>
  <si>
    <t>Urlacher, Brian</t>
  </si>
  <si>
    <t>Simms, Chris</t>
  </si>
  <si>
    <t>James, Edgerrin</t>
  </si>
  <si>
    <t>Holdman, Warrick</t>
  </si>
  <si>
    <t>Cle</t>
  </si>
  <si>
    <t>Branch, Deion</t>
  </si>
  <si>
    <t>Kinney, Erron</t>
  </si>
  <si>
    <t>Vilma, Jonathan</t>
  </si>
  <si>
    <t>Winslow, Kellen</t>
  </si>
  <si>
    <t>Henry, Travis</t>
  </si>
  <si>
    <t>Manning, Peyton</t>
  </si>
  <si>
    <t>Rogers, Charles</t>
  </si>
  <si>
    <t>Toomer, Amani</t>
  </si>
  <si>
    <t>Gold, Ian</t>
  </si>
  <si>
    <t>Suggs, Terell</t>
  </si>
  <si>
    <t>Harris, Napoleon</t>
  </si>
  <si>
    <t>Jacobs, Taylor</t>
  </si>
  <si>
    <t>Clements, Nate</t>
  </si>
  <si>
    <t>Williams, Reggie</t>
  </si>
  <si>
    <t>Barlow, Kevan</t>
  </si>
  <si>
    <t>Smith, Onterrio</t>
  </si>
  <si>
    <t>Walker, Javon</t>
  </si>
  <si>
    <t>Gary, Olandis</t>
  </si>
  <si>
    <t>Boldin, Anquan</t>
  </si>
  <si>
    <t>Davis, Andre</t>
  </si>
  <si>
    <t>Suggs, Lee</t>
  </si>
  <si>
    <t>Boerigter, Marc</t>
  </si>
  <si>
    <t>Green, Mike</t>
  </si>
  <si>
    <t>Baxter, Gary</t>
  </si>
  <si>
    <t>Cobbs, Cedric</t>
  </si>
  <si>
    <t>Woods, Rashaun</t>
  </si>
  <si>
    <t>Wilford, Earnest</t>
  </si>
  <si>
    <t>Zereoue, Amos</t>
  </si>
  <si>
    <t>Bulluck, Keith</t>
  </si>
  <si>
    <t>Gaffney, Jabar</t>
  </si>
  <si>
    <t>Washington, Kelley</t>
  </si>
  <si>
    <t>Grant, Charles</t>
  </si>
  <si>
    <t>Hasselbeck, Matt</t>
  </si>
  <si>
    <t>Calico, Tyrone</t>
  </si>
  <si>
    <t>Johnson, Larry</t>
  </si>
  <si>
    <t>Schulters, Lance</t>
  </si>
  <si>
    <t>Morgan, Dan</t>
  </si>
  <si>
    <t>Bell, Tatum</t>
  </si>
  <si>
    <t>Hall, DeAngelo</t>
  </si>
  <si>
    <t>Peppers, Julius</t>
  </si>
  <si>
    <t>Edwards, Donnie</t>
  </si>
  <si>
    <t>Green, William</t>
  </si>
  <si>
    <t>Williams, S</t>
  </si>
  <si>
    <t>Bulger, Marc</t>
  </si>
  <si>
    <t>Archuleta, Adam</t>
  </si>
  <si>
    <t>Betts, Ledell</t>
  </si>
  <si>
    <t>Grossman, Rex</t>
  </si>
  <si>
    <t>Brackens, Tony</t>
  </si>
  <si>
    <t>Thompson, Darrius</t>
  </si>
  <si>
    <t>Sirmon, Peter</t>
  </si>
  <si>
    <t>Pinner, Artose</t>
  </si>
  <si>
    <t>Jackson, Steven</t>
  </si>
  <si>
    <t>Troupe, Ben</t>
  </si>
  <si>
    <t>Wesley, Greg</t>
  </si>
  <si>
    <t>Gardner, Rod</t>
  </si>
  <si>
    <t>Ferguson, Robert</t>
  </si>
  <si>
    <t>Garcia, Jeff</t>
  </si>
  <si>
    <t>Portis, Clinton</t>
  </si>
  <si>
    <t>Palmer, Carson</t>
  </si>
  <si>
    <t>Perry, Chris</t>
  </si>
  <si>
    <t>Sam, P.K.</t>
  </si>
  <si>
    <t>Arrington, Lavar</t>
  </si>
  <si>
    <t>Harrison, Marvin</t>
  </si>
  <si>
    <t>Crumpler, Alge</t>
  </si>
  <si>
    <t>Griffin, Quentin</t>
  </si>
  <si>
    <t>Evans, Lee</t>
  </si>
  <si>
    <t>Cooley, Chris</t>
  </si>
  <si>
    <t>Givens, David</t>
  </si>
  <si>
    <t>McMichael, Randy</t>
  </si>
  <si>
    <t>Barber, Shawn</t>
  </si>
  <si>
    <t>White, Jamel</t>
  </si>
  <si>
    <t>Draft, Chris</t>
  </si>
  <si>
    <t>Moss, Randy</t>
  </si>
  <si>
    <t>Lloyd, Brandon</t>
  </si>
  <si>
    <t>Jackson, Dexter</t>
  </si>
  <si>
    <t>Rivers, Phillip</t>
  </si>
  <si>
    <t>Turner, Michael</t>
  </si>
  <si>
    <t>Morgan, Quincy</t>
  </si>
  <si>
    <t>Jurevicious, Joe</t>
  </si>
  <si>
    <t>Emmons, Carlos</t>
  </si>
  <si>
    <t>Stoutmire, Omare</t>
  </si>
  <si>
    <t>Bennett, Michael</t>
  </si>
  <si>
    <t>Jones, Thomas</t>
  </si>
  <si>
    <t>O'Neal, Deltha</t>
  </si>
  <si>
    <t>Polamalu, Troy</t>
  </si>
  <si>
    <t>Green, Ahman</t>
  </si>
  <si>
    <t>Hilliard, Ike</t>
  </si>
  <si>
    <t>Davenport, Najeh</t>
  </si>
  <si>
    <t>Trotter, Jeremiah</t>
  </si>
  <si>
    <t>Simoneau, Mark</t>
  </si>
  <si>
    <t>Clayton, Michael</t>
  </si>
  <si>
    <t>Watson, Courtney</t>
  </si>
  <si>
    <t>Coleman, Marcus</t>
  </si>
  <si>
    <t>Pennington, Chad</t>
  </si>
  <si>
    <t>Wilson, Al</t>
  </si>
  <si>
    <t>Brees, Drew</t>
  </si>
  <si>
    <t>Moreno, Zach</t>
  </si>
  <si>
    <t>Porter, Jerry</t>
  </si>
  <si>
    <t>Carr, David</t>
  </si>
  <si>
    <t>Randle El, Antwaan</t>
  </si>
  <si>
    <t>Williams, Tank</t>
  </si>
  <si>
    <t>Henderson, EJ</t>
  </si>
  <si>
    <t>Davis, Andra</t>
  </si>
  <si>
    <t>McCareins, Justin</t>
  </si>
  <si>
    <t>Wilson, Adrian</t>
  </si>
  <si>
    <t>Alexander, Shawn</t>
  </si>
  <si>
    <t>Ward, Hines</t>
  </si>
  <si>
    <t>Morris, Maurice</t>
  </si>
  <si>
    <t>Lindell, Rian</t>
  </si>
  <si>
    <t>Taylor, Sean</t>
  </si>
  <si>
    <t>Losman, J.P.</t>
  </si>
  <si>
    <t>Williams, Boo</t>
  </si>
  <si>
    <t>Thornton, David</t>
  </si>
  <si>
    <t>Fujita, Scott</t>
  </si>
  <si>
    <t>Stevens, Jerramy</t>
  </si>
  <si>
    <t>Feely, Jay</t>
  </si>
  <si>
    <t>Brown, Mike</t>
  </si>
  <si>
    <t>Johnson, Kevin</t>
  </si>
  <si>
    <t>Watson, Ben</t>
  </si>
  <si>
    <t>Brady, Tom</t>
  </si>
  <si>
    <t>Gates, Antonio</t>
  </si>
  <si>
    <t>Gage, Justin</t>
  </si>
  <si>
    <t>Terrell, David</t>
  </si>
  <si>
    <t>McCown, Josh</t>
  </si>
  <si>
    <t>Ellis, Shaun</t>
  </si>
  <si>
    <t>Glenn, Terry</t>
  </si>
  <si>
    <t>Lewis, Michael</t>
  </si>
  <si>
    <t>Schobel, Aaron</t>
  </si>
  <si>
    <t>Wilson, Cedrick</t>
  </si>
  <si>
    <t>Ayodele, Akin</t>
  </si>
  <si>
    <t>Buchanon, Philip</t>
  </si>
  <si>
    <t>Cowart, Sam</t>
  </si>
  <si>
    <t>Pinkston, Todd</t>
  </si>
  <si>
    <t>Tillman, Charles</t>
  </si>
  <si>
    <t>Brien, Doug</t>
  </si>
  <si>
    <t>Farrior, James</t>
  </si>
  <si>
    <t>Burleson, Nate</t>
  </si>
  <si>
    <t>Hamlin, Ken</t>
  </si>
  <si>
    <t>Plummer, Jake</t>
  </si>
  <si>
    <t>Smith, Antowain</t>
  </si>
  <si>
    <t>McCardell, Keenan</t>
  </si>
  <si>
    <t>McKinnon, Ronald</t>
  </si>
  <si>
    <t>Cundiff, Billy</t>
  </si>
  <si>
    <t>Doss, Mike</t>
  </si>
  <si>
    <t>Stecker, Aaron</t>
  </si>
  <si>
    <t>Carney, John</t>
  </si>
  <si>
    <t>Kitna, Jon</t>
  </si>
  <si>
    <t>Berry, Bertrand</t>
  </si>
  <si>
    <t>Scobey, Josh</t>
  </si>
  <si>
    <t>Gabriel, Doug</t>
  </si>
  <si>
    <t>Jackson, James</t>
  </si>
  <si>
    <t>Mili, Itula</t>
  </si>
  <si>
    <t>Moore, Mewelde</t>
  </si>
  <si>
    <t>Lehman, Ted</t>
  </si>
  <si>
    <t>Boulware, Michael</t>
  </si>
  <si>
    <t>Graham, Shayne</t>
  </si>
  <si>
    <t>Dawson, Phil</t>
  </si>
  <si>
    <t>Washington, Marcus</t>
  </si>
  <si>
    <t>Russell, Fred</t>
  </si>
  <si>
    <t>Bouman, Todd</t>
  </si>
  <si>
    <t>Boston, David</t>
  </si>
  <si>
    <t>Frerotte, Gus</t>
  </si>
  <si>
    <t>Seymour, Richard</t>
  </si>
  <si>
    <t>Parker, Willie</t>
  </si>
  <si>
    <t>Mahe, Reno</t>
  </si>
  <si>
    <t>Fields, Mark</t>
  </si>
  <si>
    <t>Tynes, Lawrence</t>
  </si>
  <si>
    <t>Parker, Eric</t>
  </si>
  <si>
    <t>Dansby, Karlos</t>
  </si>
  <si>
    <t>Seau, Junior</t>
  </si>
  <si>
    <t>Morris, Sammy</t>
  </si>
  <si>
    <t>WAIVED PLAYER CONTRACTS</t>
  </si>
  <si>
    <t>Active</t>
  </si>
  <si>
    <t>Waived</t>
  </si>
  <si>
    <t>Trade</t>
  </si>
  <si>
    <t>Exempt</t>
  </si>
  <si>
    <t>Smith, L.J.</t>
  </si>
  <si>
    <t>Janikowski, Sebastian</t>
  </si>
  <si>
    <t>FRCH</t>
  </si>
  <si>
    <t>Elam, Jason</t>
  </si>
  <si>
    <t>Holmes, Priest</t>
  </si>
  <si>
    <t>Holt, Torry</t>
  </si>
  <si>
    <t>Harrison, Rodney</t>
  </si>
  <si>
    <t>Joey Losurdo</t>
  </si>
  <si>
    <t>Smith, Thomas / Wesley</t>
  </si>
  <si>
    <t>Wesley / Smith, Thomas</t>
  </si>
  <si>
    <t>Favre, Brett</t>
  </si>
  <si>
    <t>Davis, Dominick</t>
  </si>
  <si>
    <t>Johnson, Rudi</t>
  </si>
  <si>
    <t>Brown, Ronnie</t>
  </si>
  <si>
    <t>Benson, Cedric</t>
  </si>
  <si>
    <t>Williams, Carnell</t>
  </si>
  <si>
    <t>Arrington, J.J.</t>
  </si>
  <si>
    <t>Edwards, Braylon</t>
  </si>
  <si>
    <t>Gore, Frank</t>
  </si>
  <si>
    <t>Clayton, Mark</t>
  </si>
  <si>
    <t>Horn, Joe</t>
  </si>
  <si>
    <t>McAllister, Deuce</t>
  </si>
  <si>
    <t>Vinatieri, Adam</t>
  </si>
  <si>
    <t>Williamson, Troy</t>
  </si>
  <si>
    <t>Williams, Mike</t>
  </si>
  <si>
    <t>Shelton, Eric</t>
  </si>
  <si>
    <t>Clarett, Maurice</t>
  </si>
  <si>
    <t>Brown, Reggie</t>
  </si>
  <si>
    <t>White, Roddy</t>
  </si>
  <si>
    <t>Duckett, T.J.</t>
  </si>
  <si>
    <t>Smith, Alex</t>
  </si>
  <si>
    <t>Jacobs, Brandon</t>
  </si>
  <si>
    <t>Miller, Heath</t>
  </si>
  <si>
    <t>Jones, Brandon</t>
  </si>
  <si>
    <t>Moats, Ryan</t>
  </si>
  <si>
    <t>Jones, Adam</t>
  </si>
  <si>
    <t>Jones, Matt</t>
  </si>
  <si>
    <t>Pollack, David</t>
  </si>
  <si>
    <t>Gates, Lionel</t>
  </si>
  <si>
    <t>Orton, Kyle</t>
  </si>
  <si>
    <t>Morency, Verand</t>
  </si>
  <si>
    <t>Nugent, Mike</t>
  </si>
  <si>
    <t>Johnson, Derrick</t>
  </si>
  <si>
    <t>Fason, Ciatrick</t>
  </si>
  <si>
    <t>Barber, Marion</t>
  </si>
  <si>
    <t>Merriman, Shawn</t>
  </si>
  <si>
    <t>Rodgers, Aaron</t>
  </si>
  <si>
    <t>Roby, Courtney</t>
  </si>
  <si>
    <t>Campbell, Jason</t>
  </si>
  <si>
    <t>Pearman, Alvin</t>
  </si>
  <si>
    <t>Davis, Thomas</t>
  </si>
  <si>
    <t>Mathis, Jerome</t>
  </si>
  <si>
    <t>Williams, Roydell</t>
  </si>
  <si>
    <t>Ware, Demarcus</t>
  </si>
  <si>
    <t>Parrish, Roscoe</t>
  </si>
  <si>
    <t>Frye, Charlie</t>
  </si>
  <si>
    <t>McNair, Steve</t>
  </si>
  <si>
    <t>Moss, Santana</t>
  </si>
  <si>
    <t>Bettis, Jerome</t>
  </si>
  <si>
    <t>McGee, Terrance</t>
  </si>
  <si>
    <t>Lewis, Ray</t>
  </si>
  <si>
    <t>Gonzalez, Tony</t>
  </si>
  <si>
    <t>Price, Peerless</t>
  </si>
  <si>
    <t>Muhammed, Muhsin</t>
  </si>
  <si>
    <t>Reed, Jeff</t>
  </si>
  <si>
    <t>Spikes, Takeo</t>
  </si>
  <si>
    <t>Foley, Steve</t>
  </si>
  <si>
    <t>Martin, Curtis</t>
  </si>
  <si>
    <t>Heap, Todd</t>
  </si>
  <si>
    <t>Springs, Shawn</t>
  </si>
  <si>
    <t>Moulds, Eric</t>
  </si>
  <si>
    <t>Warner, Kurt</t>
  </si>
  <si>
    <t>Witherspoon, Will</t>
  </si>
  <si>
    <t>Brooks, Derrick</t>
  </si>
  <si>
    <t>Gamble, Chris</t>
  </si>
  <si>
    <t>Rice, Simeon</t>
  </si>
  <si>
    <t>Akers, David</t>
  </si>
  <si>
    <t>Lucas, Ken</t>
  </si>
  <si>
    <t>Brown, Josh</t>
  </si>
  <si>
    <t>Taylor, Jason</t>
  </si>
  <si>
    <t>James, Tory</t>
  </si>
  <si>
    <t>Franks, Bubba</t>
  </si>
  <si>
    <t>Dunn, Warrick</t>
  </si>
  <si>
    <t>Smith, Jimmy</t>
  </si>
  <si>
    <t>Gbaja-Biamila, Kabeer</t>
  </si>
  <si>
    <t>Bruce, Isaac</t>
  </si>
  <si>
    <t>Sharper, Jamie</t>
  </si>
  <si>
    <t>Dilfer, Trent</t>
  </si>
  <si>
    <t>Hall, John</t>
  </si>
  <si>
    <t>Taylor, Fred</t>
  </si>
  <si>
    <t>Johnson, Eric</t>
  </si>
  <si>
    <t>Sheppard, Lito</t>
  </si>
  <si>
    <t>Azumah, Jerry</t>
  </si>
  <si>
    <t>Coleman, Eric</t>
  </si>
  <si>
    <t>Coleman, Rod</t>
  </si>
  <si>
    <t>Jackson, Darrell</t>
  </si>
  <si>
    <t>Hutchinson, Chad</t>
  </si>
  <si>
    <t>Faulk, Marshall</t>
  </si>
  <si>
    <t>Hanson, Jason</t>
  </si>
  <si>
    <t>Fletcher, London</t>
  </si>
  <si>
    <t>Brooking, Keith</t>
  </si>
  <si>
    <t>Pollard, Marcus</t>
  </si>
  <si>
    <t>Williams, Madieu</t>
  </si>
  <si>
    <t>Mason, Derrick</t>
  </si>
  <si>
    <t>Driver, Donald</t>
  </si>
  <si>
    <t>Thomas, Adalius</t>
  </si>
  <si>
    <t>Babin, Jason</t>
  </si>
  <si>
    <t>Wilkins, Jeff</t>
  </si>
  <si>
    <t>Rossum, Allen</t>
  </si>
  <si>
    <t>Wiggins, Jermaine</t>
  </si>
  <si>
    <t>Townsend, DeShea</t>
  </si>
  <si>
    <t>Porter, Joey</t>
  </si>
  <si>
    <t>Smith, Rod</t>
  </si>
  <si>
    <t>Volek, Billy</t>
  </si>
  <si>
    <t>Booker, Marty</t>
  </si>
  <si>
    <t>Parrish, Tony</t>
  </si>
  <si>
    <t>Longwell, Ryan</t>
  </si>
  <si>
    <t>Nguyen, Dat</t>
  </si>
  <si>
    <t>Stover, Matt</t>
  </si>
  <si>
    <t>Droughns, Reuben</t>
  </si>
  <si>
    <t>Milloy, Lawyer</t>
  </si>
  <si>
    <t>Davis, Stephen</t>
  </si>
  <si>
    <t>Stokely, Brandon</t>
  </si>
  <si>
    <t>Hall, James</t>
  </si>
  <si>
    <t>Kennison, Eddie</t>
  </si>
  <si>
    <t>Robinson, Marcus</t>
  </si>
  <si>
    <t>Thomas, Zach</t>
  </si>
  <si>
    <t>Williams, Moe</t>
  </si>
  <si>
    <t>Taylor, Chester</t>
  </si>
  <si>
    <t>Anderson, Mike</t>
  </si>
  <si>
    <t>Pierce, Antonio</t>
  </si>
  <si>
    <t>Rattay, Tim</t>
  </si>
  <si>
    <t>Wong, Kailee</t>
  </si>
  <si>
    <t>Rackers, Neil</t>
  </si>
  <si>
    <t>Woodson, Charles</t>
  </si>
  <si>
    <t>Winfield, Antoine</t>
  </si>
  <si>
    <t>Alexander, Stephen</t>
  </si>
  <si>
    <t>Johnson, Keyshawn</t>
  </si>
  <si>
    <t>McGinnest, Willie</t>
  </si>
  <si>
    <t>Bell, Kendrell</t>
  </si>
  <si>
    <t>Rolle, Antrel</t>
  </si>
  <si>
    <t>Pittman, Michael</t>
  </si>
  <si>
    <t>Houshmanzadeh, TJ</t>
  </si>
  <si>
    <t>Simmons, Brian</t>
  </si>
  <si>
    <t>Curry, Ronald</t>
  </si>
  <si>
    <t>Galloway, Joey</t>
  </si>
  <si>
    <t>Moore, Clearance</t>
  </si>
  <si>
    <t>Johnson, Teyo</t>
  </si>
  <si>
    <t>Dayne, Ron</t>
  </si>
  <si>
    <t>Briggs, Lance</t>
  </si>
  <si>
    <t>Kasay, John</t>
  </si>
  <si>
    <t>Clark, Danny</t>
  </si>
  <si>
    <t>Blaylock, Derrick</t>
  </si>
  <si>
    <t>Shipp, Marcel</t>
  </si>
  <si>
    <t>Howard, Darren</t>
  </si>
  <si>
    <t>Vrabel, Mike</t>
  </si>
  <si>
    <t>Johnson, Brad</t>
  </si>
  <si>
    <t>Putzier, Jeb</t>
  </si>
  <si>
    <t>Curtis, Kevin</t>
  </si>
  <si>
    <t>June, Cato</t>
  </si>
  <si>
    <t>Jackson, Vincent</t>
  </si>
  <si>
    <t>Goings, Nick</t>
  </si>
  <si>
    <t>Polley, Tommy</t>
  </si>
  <si>
    <t>Thomas, Anthony</t>
  </si>
  <si>
    <t>Sapp, Warren</t>
  </si>
  <si>
    <t>Alstott, Mike</t>
  </si>
  <si>
    <t>Detmer, Koy</t>
  </si>
  <si>
    <t>Thurman, Odell</t>
  </si>
  <si>
    <t>Sproles, Darren</t>
  </si>
  <si>
    <t>Murphy, Terrance</t>
  </si>
  <si>
    <t>Faulk, Kevin</t>
  </si>
  <si>
    <t>James, Erasmus</t>
  </si>
  <si>
    <t>Rogers, Carlos</t>
  </si>
  <si>
    <t>Chavous, Corey</t>
  </si>
  <si>
    <t>Peek, Antwan</t>
  </si>
  <si>
    <t>Battle, Arnez</t>
  </si>
  <si>
    <t>Pryce, Trevor</t>
  </si>
  <si>
    <t>Burnett, Kevin</t>
  </si>
  <si>
    <t>Lewis, Greg</t>
  </si>
  <si>
    <t>Umenyiora, Osi</t>
  </si>
  <si>
    <t>Martin, Jamie</t>
  </si>
  <si>
    <t>Tatupu, Lofa</t>
  </si>
  <si>
    <t>Bradley, Mark</t>
  </si>
  <si>
    <t>Morton, Johnnie</t>
  </si>
  <si>
    <t>McDonald, Shaun</t>
  </si>
  <si>
    <t>Quarles, Shelton</t>
  </si>
  <si>
    <t>Edinger, Paul</t>
  </si>
  <si>
    <t>Sams, B.J.</t>
  </si>
  <si>
    <t>Kaeding, Nate</t>
  </si>
  <si>
    <t>Smith, Dwight</t>
  </si>
  <si>
    <t>Brown, Sheldon</t>
  </si>
  <si>
    <t>Barton, Eric</t>
  </si>
  <si>
    <t>Bryant, Matt</t>
  </si>
  <si>
    <t>Okeafor, Chike</t>
  </si>
  <si>
    <t>Hayward, Reggie</t>
  </si>
  <si>
    <t>Williams, Shaud</t>
  </si>
  <si>
    <t>Collins, Todd</t>
  </si>
  <si>
    <t>Kiel, Terrence</t>
  </si>
  <si>
    <t>Campbell, Mark</t>
  </si>
  <si>
    <t>Brown, Kris</t>
  </si>
  <si>
    <t>Peterson, Todd</t>
  </si>
  <si>
    <t>Northcutt, Dennis</t>
  </si>
  <si>
    <t>Anderson, Courtney</t>
  </si>
  <si>
    <t>Bryson, Shawn</t>
  </si>
  <si>
    <t>Baker, Chris</t>
  </si>
  <si>
    <t>Dwight, Tim</t>
  </si>
  <si>
    <t>Crayton, Patrick</t>
  </si>
  <si>
    <t>Jackson, Frisman</t>
  </si>
  <si>
    <t>Utecht, Ben</t>
  </si>
  <si>
    <t>Scobee, Josh</t>
  </si>
  <si>
    <t>Brunell, Mark</t>
  </si>
  <si>
    <t>Henry, Anthony</t>
  </si>
  <si>
    <t>Brackett, Gary</t>
  </si>
  <si>
    <t>Hicks, Maurice</t>
  </si>
  <si>
    <t>Mathis, Robert</t>
  </si>
  <si>
    <t>Reagor, Montae</t>
  </si>
  <si>
    <t>Bironas, Rob</t>
  </si>
  <si>
    <t>Henry, Chris</t>
  </si>
  <si>
    <t>Vanden Bosch, Kyle</t>
  </si>
  <si>
    <t>Haggans, Clark</t>
  </si>
  <si>
    <t>Wistrom, Grant</t>
  </si>
  <si>
    <t>Vasher, Nathan</t>
  </si>
  <si>
    <t>Wright, Anthony</t>
  </si>
  <si>
    <t>Bollinger, Brooks</t>
  </si>
  <si>
    <t>Kleinsasser, Jimmy</t>
  </si>
  <si>
    <t>Kampman, Aaron</t>
  </si>
  <si>
    <t>Testaverde, Vinny</t>
  </si>
  <si>
    <t>Williams, Demorrio</t>
  </si>
  <si>
    <t>Young, Bryant</t>
  </si>
  <si>
    <t>Smith, Derek</t>
  </si>
  <si>
    <t>Ulbrich, Jeff</t>
  </si>
  <si>
    <t>Haynes, Verron</t>
  </si>
  <si>
    <t>Thompson, Tyson</t>
  </si>
  <si>
    <t>Patterson, Mike</t>
  </si>
  <si>
    <t>Chatman, Antonio</t>
  </si>
  <si>
    <t>Holcomb, Kelly</t>
  </si>
  <si>
    <t>Sowell, Jerald</t>
  </si>
  <si>
    <t>Cortez, Jose</t>
  </si>
  <si>
    <t>Ellis, Greg</t>
  </si>
  <si>
    <t>Fisher, Bryce</t>
  </si>
  <si>
    <t>Finneran, Brian</t>
  </si>
  <si>
    <t>Fisher, Tony</t>
  </si>
  <si>
    <t>Houston, Cedric</t>
  </si>
  <si>
    <t>Pass, Patrick</t>
  </si>
  <si>
    <t>Shaub, Matt</t>
  </si>
  <si>
    <t>Schobel, Matt</t>
  </si>
  <si>
    <t>Spicer, Paul</t>
  </si>
  <si>
    <t>Chatman, Jesse</t>
  </si>
  <si>
    <t>Peterson, Adrian</t>
  </si>
  <si>
    <t>Conwell, Ernie</t>
  </si>
  <si>
    <t>Edwards, Kalimba</t>
  </si>
  <si>
    <t>Taylor, Grant / Peppers, Gardner</t>
  </si>
  <si>
    <t>Peppers, Gardner / Taylor, Grant</t>
  </si>
  <si>
    <t>Mathis, RaShean</t>
  </si>
  <si>
    <t>Allen, Jared</t>
  </si>
  <si>
    <t>Crowell, Angelo</t>
  </si>
  <si>
    <t>NOTES:</t>
  </si>
  <si>
    <t>(1)  Barton acquired Losurdo's 2006 first round draft pick via trade.</t>
  </si>
  <si>
    <t>(2)  Barton acquired Losurdo's 2006 second round draft pick via trade.</t>
  </si>
  <si>
    <t>(3)  W Woodford acquired Berdie's 2006 second round draft pick via trade.</t>
  </si>
  <si>
    <t>Welker, Wes</t>
  </si>
  <si>
    <t>Bradford, Corey</t>
  </si>
  <si>
    <t>Burgess, Derrick</t>
  </si>
  <si>
    <t>Bly, Dre</t>
  </si>
  <si>
    <t>Wilson, Gibril</t>
  </si>
  <si>
    <t>Ward et al. / Culpepper et al.</t>
  </si>
  <si>
    <t>Culpepper et al. / Ward et al.</t>
  </si>
  <si>
    <t>Rosenfels, Sage</t>
  </si>
  <si>
    <t>Lee, Rashard</t>
  </si>
  <si>
    <t>Kelly, Brian</t>
  </si>
  <si>
    <t>Dorsey, Ken</t>
  </si>
  <si>
    <t>Kennedy, Kenoy</t>
  </si>
  <si>
    <t>Fiedler, Jay</t>
  </si>
  <si>
    <t>Mitchell, Kawika</t>
  </si>
  <si>
    <t>Nedney, Joe</t>
  </si>
  <si>
    <t>Taylor, Ike</t>
  </si>
  <si>
    <t>Hope, Chris</t>
  </si>
  <si>
    <t>Batch, Charlie</t>
  </si>
  <si>
    <t>Marshall, Lemar</t>
  </si>
  <si>
    <t>Smith, Daryl</t>
  </si>
  <si>
    <t>Gado, Samkon</t>
  </si>
  <si>
    <t>Brock, Raheem</t>
  </si>
  <si>
    <t>Lelie / Owens</t>
  </si>
  <si>
    <t>Owens / Lelie</t>
  </si>
  <si>
    <t xml:space="preserve">(5)  A Boyd acquired C Boyd's 2006 second round draft pick via trade. </t>
  </si>
  <si>
    <t>(4)  A Boyd acquired C Boyd's 2006 first round draft pick via trade.</t>
  </si>
  <si>
    <t>(7)  Mehta acquired Krenz's 2006 second round draft pick via trade.</t>
  </si>
  <si>
    <t>(6)  Mehta aqcuired Krenz's 2006 first round draft pick via trade.</t>
  </si>
  <si>
    <t>Harrison / Taylor</t>
  </si>
  <si>
    <t>Taylor / Harrison</t>
  </si>
  <si>
    <t>Lee, Donald</t>
  </si>
  <si>
    <t>Wells, Jonathan</t>
  </si>
  <si>
    <t>James, Bradie</t>
  </si>
  <si>
    <t>Garrard, David</t>
  </si>
  <si>
    <t>Law, Ty</t>
  </si>
  <si>
    <t>Evans, Heath</t>
  </si>
  <si>
    <t>Crockett, Zack</t>
  </si>
  <si>
    <t>McMahon, Mike</t>
  </si>
  <si>
    <t>Heiden, Steve</t>
  </si>
  <si>
    <t>Fitzpatrick, Ryan</t>
  </si>
  <si>
    <t>Brown, Alex</t>
  </si>
  <si>
    <t>DE</t>
  </si>
  <si>
    <t>Tuiasosopo, Marques</t>
  </si>
  <si>
    <t>McPherson, Adrian</t>
  </si>
  <si>
    <t>Mosley, C.J.</t>
  </si>
  <si>
    <t>Hilton, Zach</t>
  </si>
  <si>
    <t>Flutie, Doug</t>
  </si>
  <si>
    <t>Sorgi, Jim</t>
  </si>
  <si>
    <t>Greenwood, Morlon</t>
  </si>
  <si>
    <t>Navarre, John</t>
  </si>
  <si>
    <t>Herron, Noah</t>
  </si>
  <si>
    <t>Orr, Shantee</t>
  </si>
  <si>
    <t>Crockett, Zach</t>
  </si>
  <si>
    <t>Mauck, Matt</t>
  </si>
  <si>
    <t>Foote, Larry</t>
  </si>
  <si>
    <t>Daniels, Phillip</t>
  </si>
  <si>
    <t>Terrell (Accelerated)</t>
  </si>
  <si>
    <t>Williams (Accelerated)</t>
  </si>
  <si>
    <t>Fargas (Accelerated)</t>
  </si>
  <si>
    <t>Gaffney (Accelerated)</t>
  </si>
  <si>
    <t>Feely (Accelerated)</t>
  </si>
  <si>
    <t>Russell (Accelerated)</t>
  </si>
  <si>
    <t>Engram (Accelerated)</t>
  </si>
  <si>
    <t>Updated January 10, 2005 at 10 PM CT</t>
  </si>
  <si>
    <t>Points</t>
  </si>
  <si>
    <t>Tourney</t>
  </si>
  <si>
    <t>Hi Score</t>
  </si>
  <si>
    <t>Win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</si>
</sst>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  <numFmt numFmtId="168" formatCode="[$€-2]\ #,##0.00_);[Red]\([$€-2]\ #,##0.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17"/>
      <name val="Wide Lati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Copperplate Gothic Bold"/>
      <family val="2"/>
    </font>
    <font>
      <b/>
      <sz val="12"/>
      <name val="Arial"/>
      <family val="2"/>
    </font>
    <font>
      <b/>
      <sz val="12"/>
      <color indexed="12"/>
      <name val="Copperplate Gothic Bold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12"/>
      <color indexed="51"/>
      <name val="Bookman Old Style"/>
      <family val="1"/>
    </font>
    <font>
      <b/>
      <sz val="12"/>
      <color indexed="17"/>
      <name val="Bookman Old Styl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7"/>
      <name val="Calibri"/>
      <family val="2"/>
    </font>
    <font>
      <sz val="14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51"/>
      <name val="Calibri"/>
      <family val="2"/>
    </font>
    <font>
      <sz val="10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3" fontId="14" fillId="0" borderId="0" xfId="42" applyFont="1" applyAlignment="1">
      <alignment/>
    </xf>
    <xf numFmtId="0" fontId="14" fillId="0" borderId="0" xfId="0" applyFont="1" applyAlignment="1">
      <alignment/>
    </xf>
    <xf numFmtId="43" fontId="15" fillId="0" borderId="0" xfId="42" applyFont="1" applyAlignment="1">
      <alignment/>
    </xf>
    <xf numFmtId="43" fontId="15" fillId="0" borderId="0" xfId="42" applyFont="1" applyAlignment="1">
      <alignment horizontal="center"/>
    </xf>
    <xf numFmtId="167" fontId="15" fillId="0" borderId="0" xfId="42" applyNumberFormat="1" applyFont="1" applyAlignment="1">
      <alignment/>
    </xf>
    <xf numFmtId="0" fontId="13" fillId="0" borderId="0" xfId="0" applyFont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0" fillId="0" borderId="0" xfId="42" applyAlignment="1" applyProtection="1">
      <alignment/>
      <protection locked="0"/>
    </xf>
    <xf numFmtId="43" fontId="0" fillId="0" borderId="0" xfId="42" applyAlignment="1" applyProtection="1">
      <alignment horizontal="center"/>
      <protection/>
    </xf>
    <xf numFmtId="44" fontId="0" fillId="0" borderId="0" xfId="44" applyAlignment="1" applyProtection="1">
      <alignment/>
      <protection locked="0"/>
    </xf>
    <xf numFmtId="0" fontId="0" fillId="0" borderId="0" xfId="44" applyNumberFormat="1" applyAlignment="1" applyProtection="1">
      <alignment horizontal="center"/>
      <protection/>
    </xf>
    <xf numFmtId="43" fontId="0" fillId="0" borderId="0" xfId="42" applyAlignment="1" applyProtection="1">
      <alignment/>
      <protection/>
    </xf>
    <xf numFmtId="0" fontId="0" fillId="0" borderId="0" xfId="42" applyNumberFormat="1" applyAlignment="1" applyProtection="1">
      <alignment horizontal="center"/>
      <protection/>
    </xf>
    <xf numFmtId="43" fontId="0" fillId="0" borderId="0" xfId="42" applyAlignment="1" applyProtection="1">
      <alignment horizontal="center"/>
      <protection locked="0"/>
    </xf>
    <xf numFmtId="0" fontId="0" fillId="0" borderId="0" xfId="42" applyNumberFormat="1" applyAlignment="1" applyProtection="1">
      <alignment horizontal="center"/>
      <protection locked="0"/>
    </xf>
    <xf numFmtId="44" fontId="18" fillId="0" borderId="0" xfId="44" applyFont="1" applyAlignment="1" applyProtection="1">
      <alignment/>
      <protection locked="0"/>
    </xf>
    <xf numFmtId="44" fontId="18" fillId="0" borderId="0" xfId="44" applyFont="1" applyAlignment="1" applyProtection="1">
      <alignment/>
      <protection/>
    </xf>
    <xf numFmtId="44" fontId="18" fillId="0" borderId="0" xfId="44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0" fillId="0" borderId="0" xfId="42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0" fillId="0" borderId="0" xfId="42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20" fillId="33" borderId="0" xfId="0" applyFont="1" applyFill="1" applyAlignment="1" applyProtection="1">
      <alignment horizontal="center"/>
      <protection locked="0"/>
    </xf>
    <xf numFmtId="0" fontId="19" fillId="33" borderId="0" xfId="0" applyFont="1" applyFill="1" applyAlignment="1" applyProtection="1">
      <alignment horizontal="center"/>
      <protection locked="0"/>
    </xf>
    <xf numFmtId="0" fontId="38" fillId="33" borderId="0" xfId="0" applyFont="1" applyFill="1" applyAlignment="1">
      <alignment horizontal="center"/>
    </xf>
    <xf numFmtId="167" fontId="38" fillId="33" borderId="0" xfId="42" applyNumberFormat="1" applyFont="1" applyFill="1" applyAlignment="1">
      <alignment horizontal="center"/>
    </xf>
    <xf numFmtId="0" fontId="39" fillId="0" borderId="0" xfId="0" applyFont="1" applyAlignment="1">
      <alignment horizontal="center"/>
    </xf>
    <xf numFmtId="167" fontId="39" fillId="0" borderId="0" xfId="42" applyNumberFormat="1" applyFont="1" applyAlignment="1">
      <alignment/>
    </xf>
    <xf numFmtId="0" fontId="40" fillId="0" borderId="0" xfId="0" applyFont="1" applyAlignment="1">
      <alignment horizontal="center"/>
    </xf>
    <xf numFmtId="167" fontId="40" fillId="0" borderId="0" xfId="42" applyNumberFormat="1" applyFont="1" applyAlignment="1">
      <alignment/>
    </xf>
    <xf numFmtId="0" fontId="40" fillId="0" borderId="0" xfId="0" applyFont="1" applyAlignment="1">
      <alignment/>
    </xf>
    <xf numFmtId="167" fontId="40" fillId="0" borderId="0" xfId="0" applyNumberFormat="1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right"/>
    </xf>
    <xf numFmtId="0" fontId="45" fillId="0" borderId="0" xfId="0" applyFont="1" applyAlignment="1">
      <alignment/>
    </xf>
    <xf numFmtId="0" fontId="39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/>
    </xf>
    <xf numFmtId="43" fontId="40" fillId="0" borderId="0" xfId="42" applyFont="1" applyAlignment="1">
      <alignment/>
    </xf>
    <xf numFmtId="43" fontId="40" fillId="0" borderId="0" xfId="0" applyNumberFormat="1" applyFont="1" applyAlignment="1">
      <alignment/>
    </xf>
    <xf numFmtId="44" fontId="40" fillId="0" borderId="0" xfId="44" applyFont="1" applyAlignment="1">
      <alignment/>
    </xf>
    <xf numFmtId="0" fontId="53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67" fontId="40" fillId="0" borderId="10" xfId="42" applyNumberFormat="1" applyFont="1" applyBorder="1" applyAlignment="1">
      <alignment/>
    </xf>
    <xf numFmtId="43" fontId="40" fillId="0" borderId="10" xfId="42" applyFont="1" applyBorder="1" applyAlignment="1">
      <alignment/>
    </xf>
    <xf numFmtId="43" fontId="54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3" fontId="45" fillId="0" borderId="0" xfId="0" applyNumberFormat="1" applyFont="1" applyAlignment="1">
      <alignment/>
    </xf>
    <xf numFmtId="44" fontId="52" fillId="0" borderId="0" xfId="44" applyFont="1" applyAlignment="1">
      <alignment horizontal="center"/>
    </xf>
    <xf numFmtId="44" fontId="52" fillId="0" borderId="0" xfId="44" applyFont="1" applyBorder="1" applyAlignment="1">
      <alignment horizontal="center"/>
    </xf>
    <xf numFmtId="0" fontId="55" fillId="0" borderId="0" xfId="0" applyFont="1" applyAlignment="1">
      <alignment/>
    </xf>
    <xf numFmtId="44" fontId="55" fillId="0" borderId="0" xfId="44" applyFont="1" applyAlignment="1">
      <alignment/>
    </xf>
    <xf numFmtId="0" fontId="49" fillId="0" borderId="0" xfId="0" applyFont="1" applyAlignment="1">
      <alignment horizontal="right"/>
    </xf>
    <xf numFmtId="43" fontId="49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43" fontId="45" fillId="0" borderId="0" xfId="42" applyFont="1" applyAlignment="1">
      <alignment horizontal="center"/>
    </xf>
    <xf numFmtId="167" fontId="45" fillId="0" borderId="0" xfId="42" applyNumberFormat="1" applyFont="1" applyAlignment="1">
      <alignment/>
    </xf>
    <xf numFmtId="43" fontId="45" fillId="0" borderId="0" xfId="42" applyFont="1" applyAlignment="1">
      <alignment/>
    </xf>
    <xf numFmtId="43" fontId="49" fillId="0" borderId="0" xfId="42" applyFont="1" applyBorder="1" applyAlignment="1">
      <alignment horizontal="center"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43" fontId="49" fillId="0" borderId="10" xfId="42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43" fontId="45" fillId="0" borderId="10" xfId="42" applyFont="1" applyBorder="1" applyAlignment="1">
      <alignment horizontal="center"/>
    </xf>
    <xf numFmtId="167" fontId="45" fillId="0" borderId="10" xfId="42" applyNumberFormat="1" applyFont="1" applyBorder="1" applyAlignment="1">
      <alignment/>
    </xf>
    <xf numFmtId="43" fontId="45" fillId="0" borderId="10" xfId="42" applyFont="1" applyBorder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63" customWidth="1"/>
    <col min="2" max="2" width="4.7109375" style="63" customWidth="1"/>
    <col min="3" max="3" width="5.7109375" style="63" customWidth="1"/>
    <col min="4" max="9" width="7.7109375" style="63" customWidth="1"/>
    <col min="10" max="10" width="8.7109375" style="63" customWidth="1"/>
    <col min="11" max="11" width="1.7109375" style="63" customWidth="1"/>
    <col min="12" max="12" width="5.7109375" style="63" customWidth="1"/>
    <col min="13" max="13" width="7.7109375" style="63" customWidth="1"/>
    <col min="14" max="14" width="1.7109375" style="63" customWidth="1"/>
    <col min="15" max="15" width="5.7109375" style="63" customWidth="1"/>
    <col min="16" max="16" width="7.7109375" style="63" customWidth="1"/>
    <col min="17" max="17" width="1.7109375" style="63" customWidth="1"/>
    <col min="18" max="18" width="5.7109375" style="63" customWidth="1"/>
    <col min="19" max="19" width="7.7109375" style="63" customWidth="1"/>
    <col min="20" max="20" width="1.7109375" style="63" customWidth="1"/>
    <col min="21" max="21" width="5.7109375" style="63" customWidth="1"/>
    <col min="22" max="22" width="7.7109375" style="63" customWidth="1"/>
    <col min="23" max="23" width="3.7109375" style="63" customWidth="1"/>
    <col min="24" max="16384" width="9.140625" style="63" customWidth="1"/>
  </cols>
  <sheetData>
    <row r="1" spans="1:22" ht="18.7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1"/>
      <c r="P1" s="61"/>
      <c r="Q1" s="62" t="s">
        <v>723</v>
      </c>
      <c r="R1" s="62"/>
      <c r="S1" s="62"/>
      <c r="T1" s="62"/>
      <c r="U1" s="62"/>
      <c r="V1" s="62"/>
    </row>
    <row r="2" ht="7.5" customHeight="1"/>
    <row r="3" spans="3:27" s="64" customFormat="1" ht="15" customHeight="1">
      <c r="C3" s="65">
        <v>2005</v>
      </c>
      <c r="D3" s="65"/>
      <c r="E3" s="65"/>
      <c r="F3" s="65"/>
      <c r="G3" s="65"/>
      <c r="H3" s="65"/>
      <c r="I3" s="65"/>
      <c r="J3" s="65"/>
      <c r="K3" s="66"/>
      <c r="L3" s="65">
        <v>2006</v>
      </c>
      <c r="M3" s="65"/>
      <c r="N3" s="66"/>
      <c r="O3" s="65">
        <v>2007</v>
      </c>
      <c r="P3" s="65"/>
      <c r="Q3" s="66"/>
      <c r="R3" s="65">
        <v>2008</v>
      </c>
      <c r="S3" s="65"/>
      <c r="T3" s="66"/>
      <c r="U3" s="65">
        <v>2009</v>
      </c>
      <c r="V3" s="65"/>
      <c r="X3" s="51" t="s">
        <v>724</v>
      </c>
      <c r="Y3" s="51" t="s">
        <v>725</v>
      </c>
      <c r="Z3" s="51" t="s">
        <v>726</v>
      </c>
      <c r="AA3" s="52" t="s">
        <v>727</v>
      </c>
    </row>
    <row r="4" spans="3:27" s="64" customFormat="1" ht="7.5" customHeight="1">
      <c r="C4" s="67"/>
      <c r="D4" s="67"/>
      <c r="E4" s="67"/>
      <c r="F4" s="67"/>
      <c r="G4" s="67"/>
      <c r="H4" s="67"/>
      <c r="I4" s="67"/>
      <c r="J4" s="67"/>
      <c r="K4" s="68"/>
      <c r="L4" s="69"/>
      <c r="M4" s="69"/>
      <c r="N4" s="68"/>
      <c r="O4" s="67"/>
      <c r="P4" s="67"/>
      <c r="Q4" s="68"/>
      <c r="R4" s="69"/>
      <c r="S4" s="69"/>
      <c r="T4" s="68"/>
      <c r="U4" s="67"/>
      <c r="V4" s="67"/>
      <c r="X4" s="53"/>
      <c r="Y4" s="53"/>
      <c r="Z4" s="53"/>
      <c r="AA4" s="54"/>
    </row>
    <row r="5" spans="1:27" s="57" customFormat="1" ht="15">
      <c r="A5" s="70" t="s">
        <v>1</v>
      </c>
      <c r="C5" s="71" t="s">
        <v>5</v>
      </c>
      <c r="D5" s="71" t="s">
        <v>396</v>
      </c>
      <c r="E5" s="71" t="s">
        <v>397</v>
      </c>
      <c r="F5" s="71" t="s">
        <v>398</v>
      </c>
      <c r="G5" s="71" t="s">
        <v>399</v>
      </c>
      <c r="H5" s="71" t="s">
        <v>2</v>
      </c>
      <c r="I5" s="71" t="s">
        <v>3</v>
      </c>
      <c r="J5" s="71" t="s">
        <v>4</v>
      </c>
      <c r="K5" s="72"/>
      <c r="L5" s="71" t="s">
        <v>5</v>
      </c>
      <c r="M5" s="71" t="s">
        <v>6</v>
      </c>
      <c r="N5" s="72"/>
      <c r="O5" s="71" t="s">
        <v>5</v>
      </c>
      <c r="P5" s="71" t="s">
        <v>6</v>
      </c>
      <c r="Q5" s="72"/>
      <c r="R5" s="71" t="s">
        <v>5</v>
      </c>
      <c r="S5" s="71" t="s">
        <v>6</v>
      </c>
      <c r="T5" s="72"/>
      <c r="U5" s="71" t="s">
        <v>5</v>
      </c>
      <c r="V5" s="71" t="s">
        <v>6</v>
      </c>
      <c r="X5" s="55"/>
      <c r="Y5" s="55"/>
      <c r="Z5" s="55"/>
      <c r="AA5" s="56"/>
    </row>
    <row r="6" spans="24:27" s="64" customFormat="1" ht="7.5" customHeight="1">
      <c r="X6" s="53"/>
      <c r="Y6" s="53"/>
      <c r="Z6" s="53"/>
      <c r="AA6" s="54"/>
    </row>
    <row r="7" spans="1:27" s="57" customFormat="1" ht="15" customHeight="1">
      <c r="A7" s="73" t="s">
        <v>19</v>
      </c>
      <c r="C7" s="56">
        <f>+COUNTIF(Adkisson!$I$5:$I$29,"&gt;0")</f>
        <v>25</v>
      </c>
      <c r="D7" s="74">
        <f>+Adkisson!I31</f>
        <v>118.55</v>
      </c>
      <c r="E7" s="74">
        <f>+Adkisson!I53</f>
        <v>39</v>
      </c>
      <c r="F7" s="74">
        <f>+Adkisson!I62</f>
        <v>0</v>
      </c>
      <c r="G7" s="74">
        <v>0</v>
      </c>
      <c r="H7" s="74">
        <f aca="true" t="shared" si="0" ref="H7:H26">+SUM(D7:G7)</f>
        <v>157.55</v>
      </c>
      <c r="I7" s="74">
        <f aca="true" t="shared" si="1" ref="I7:I26">+ROUND(IF(H7&gt;($H$31*1.2),(9*(H7-1.2*$H$31)+$H$31*0.5),IF(H7&gt;($H$31*1.1),(4*(H7-1.1*$H$31)+$H$31*0.1),IF(H7&gt;$H$31,H7-$H$31,0))),2)</f>
        <v>171.65</v>
      </c>
      <c r="J7" s="75">
        <f aca="true" t="shared" si="2" ref="J7:J26">+H7+I7</f>
        <v>329.20000000000005</v>
      </c>
      <c r="L7" s="56">
        <f>+COUNTIF(Adkisson!$J$5:$J$29,"&gt;0")</f>
        <v>15</v>
      </c>
      <c r="M7" s="74">
        <f>+Adkisson!J31</f>
        <v>85.35</v>
      </c>
      <c r="O7" s="56">
        <f>+COUNTIF(Adkisson!$K$5:$K$29,"&gt;0")</f>
        <v>14</v>
      </c>
      <c r="P7" s="74">
        <f>+Adkisson!K31</f>
        <v>58.24999999999999</v>
      </c>
      <c r="R7" s="56">
        <f>+COUNTIF(Adkisson!$L$5:$L$29,"&gt;0")</f>
        <v>8</v>
      </c>
      <c r="S7" s="74">
        <f>+Adkisson!L31</f>
        <v>21.6</v>
      </c>
      <c r="U7" s="56">
        <f>+COUNTIF(Adkisson!$M$5:$M$29,"&gt;0")</f>
        <v>2</v>
      </c>
      <c r="V7" s="74">
        <f>+Adkisson!M31</f>
        <v>2.5</v>
      </c>
      <c r="X7" s="55">
        <v>2</v>
      </c>
      <c r="Y7" s="55"/>
      <c r="Z7" s="55">
        <v>5</v>
      </c>
      <c r="AA7" s="56">
        <f>M32+V32*5</f>
        <v>618</v>
      </c>
    </row>
    <row r="8" spans="1:27" s="57" customFormat="1" ht="15" customHeight="1">
      <c r="A8" s="73" t="s">
        <v>25</v>
      </c>
      <c r="C8" s="56">
        <f>+COUNTIF(Coenen!$I$5:$I$29,"&gt;0")</f>
        <v>25</v>
      </c>
      <c r="D8" s="74">
        <f>+Coenen!I31</f>
        <v>133.95</v>
      </c>
      <c r="E8" s="74">
        <f>+Coenen!I46</f>
        <v>17.8</v>
      </c>
      <c r="F8" s="74">
        <f>+Coenen!I55</f>
        <v>0</v>
      </c>
      <c r="G8" s="74">
        <v>0</v>
      </c>
      <c r="H8" s="74">
        <f t="shared" si="0"/>
        <v>151.75</v>
      </c>
      <c r="I8" s="74">
        <f t="shared" si="1"/>
        <v>119.45</v>
      </c>
      <c r="J8" s="75">
        <f t="shared" si="2"/>
        <v>271.2</v>
      </c>
      <c r="L8" s="56">
        <f>+COUNTIF(Coenen!$J$5:$J$29,"&gt;0")</f>
        <v>16</v>
      </c>
      <c r="M8" s="74">
        <f>+Coenen!J31</f>
        <v>72.6</v>
      </c>
      <c r="O8" s="56">
        <f>+COUNTIF(Coenen!$K$5:$K$29,"&gt;0")</f>
        <v>14</v>
      </c>
      <c r="P8" s="74">
        <f>+Coenen!K31</f>
        <v>56.4</v>
      </c>
      <c r="R8" s="56">
        <f>+COUNTIF(Coenen!$L$5:$L$29,"&gt;0")</f>
        <v>6</v>
      </c>
      <c r="S8" s="74">
        <f>+Coenen!L31</f>
        <v>18.5</v>
      </c>
      <c r="U8" s="56">
        <f>+COUNTIF(Coenen!$M$5:$M$29,"&gt;0")</f>
        <v>3</v>
      </c>
      <c r="V8" s="74">
        <f>+Coenen!M31</f>
        <v>10.7</v>
      </c>
      <c r="X8" s="55">
        <v>7</v>
      </c>
      <c r="Y8" s="55">
        <v>3</v>
      </c>
      <c r="Z8" s="55">
        <v>1</v>
      </c>
      <c r="AA8" s="56">
        <f>P33+S34+V32</f>
        <v>254</v>
      </c>
    </row>
    <row r="9" spans="1:27" s="57" customFormat="1" ht="15" customHeight="1">
      <c r="A9" s="73" t="s">
        <v>17</v>
      </c>
      <c r="B9" s="73"/>
      <c r="C9" s="56">
        <f>+COUNTIF(Rittenhouse!$I$5:$I$29,"&gt;0")</f>
        <v>25</v>
      </c>
      <c r="D9" s="74">
        <f>+Rittenhouse!I31</f>
        <v>139.75</v>
      </c>
      <c r="E9" s="74">
        <f>+Rittenhouse!I53</f>
        <v>10.500000000000004</v>
      </c>
      <c r="F9" s="74">
        <f>+Rittenhouse!I62</f>
        <v>0</v>
      </c>
      <c r="G9" s="74">
        <v>0</v>
      </c>
      <c r="H9" s="74">
        <f t="shared" si="0"/>
        <v>150.25</v>
      </c>
      <c r="I9" s="74">
        <f t="shared" si="1"/>
        <v>105.95</v>
      </c>
      <c r="J9" s="75">
        <f t="shared" si="2"/>
        <v>256.2</v>
      </c>
      <c r="L9" s="56">
        <f>+COUNTIF(Rittenhouse!$J$5:$J$29,"&gt;0")</f>
        <v>18</v>
      </c>
      <c r="M9" s="74">
        <f>+Rittenhouse!J31</f>
        <v>71.35000000000001</v>
      </c>
      <c r="O9" s="56">
        <f>+COUNTIF(Rittenhouse!$K$5:$K$29,"&gt;0")</f>
        <v>12</v>
      </c>
      <c r="P9" s="74">
        <f>+Rittenhouse!K31</f>
        <v>25.5</v>
      </c>
      <c r="R9" s="56">
        <f>+COUNTIF(Rittenhouse!$L$5:$L$29,"&gt;0")</f>
        <v>8</v>
      </c>
      <c r="S9" s="74">
        <f>+Rittenhouse!L31</f>
        <v>11.999999999999998</v>
      </c>
      <c r="U9" s="56">
        <f>+COUNTIF(Rittenhouse!$M$5:$M$29,"&gt;0")</f>
        <v>3</v>
      </c>
      <c r="V9" s="74">
        <f>+Rittenhouse!M31</f>
        <v>6.35</v>
      </c>
      <c r="X9" s="55"/>
      <c r="Y9" s="55"/>
      <c r="Z9" s="55"/>
      <c r="AA9" s="56"/>
    </row>
    <row r="10" spans="1:27" s="57" customFormat="1" ht="15" customHeight="1">
      <c r="A10" s="73" t="s">
        <v>12</v>
      </c>
      <c r="C10" s="56">
        <f>+COUNTIF(WoodfordW!$I$5:$I$29,"&gt;0")</f>
        <v>24</v>
      </c>
      <c r="D10" s="74">
        <f>+WoodfordW!I31</f>
        <v>88.94999999999999</v>
      </c>
      <c r="E10" s="74">
        <f>+WoodfordW!I46</f>
        <v>66.75</v>
      </c>
      <c r="F10" s="74">
        <f>+WoodfordW!I55</f>
        <v>-8.4</v>
      </c>
      <c r="G10" s="74">
        <v>0</v>
      </c>
      <c r="H10" s="74">
        <f t="shared" si="0"/>
        <v>147.29999999999998</v>
      </c>
      <c r="I10" s="74">
        <f t="shared" si="1"/>
        <v>79.4</v>
      </c>
      <c r="J10" s="75">
        <f t="shared" si="2"/>
        <v>226.7</v>
      </c>
      <c r="L10" s="56">
        <f>+COUNTIF(WoodfordW!$J$5:$J$29,"&gt;0")</f>
        <v>13</v>
      </c>
      <c r="M10" s="74">
        <f>+WoodfordW!J31</f>
        <v>47.39999999999999</v>
      </c>
      <c r="O10" s="56">
        <f>+COUNTIF(WoodfordW!$K$5:$K$29,"&gt;0")</f>
        <v>10</v>
      </c>
      <c r="P10" s="74">
        <f>+WoodfordW!K31</f>
        <v>34.55</v>
      </c>
      <c r="R10" s="56">
        <f>+COUNTIF(WoodfordW!$L$5:$L$29,"&gt;0")</f>
        <v>7</v>
      </c>
      <c r="S10" s="74">
        <f>+WoodfordW!L31</f>
        <v>17.05</v>
      </c>
      <c r="U10" s="56">
        <f>+COUNTIF(WoodfordW!$M$5:$M$29,"&gt;0")</f>
        <v>5</v>
      </c>
      <c r="V10" s="74">
        <f>+WoodfordW!M31</f>
        <v>14.3</v>
      </c>
      <c r="X10" s="55">
        <v>1</v>
      </c>
      <c r="Y10" s="55">
        <v>4</v>
      </c>
      <c r="Z10" s="55">
        <v>2</v>
      </c>
      <c r="AA10" s="56">
        <f>M31+S35+V32*2</f>
        <v>835</v>
      </c>
    </row>
    <row r="11" spans="1:27" s="57" customFormat="1" ht="15" customHeight="1">
      <c r="A11" s="73" t="s">
        <v>24</v>
      </c>
      <c r="C11" s="56">
        <f>+COUNTIF(Becker!$I$5:$I$29,"&gt;0")</f>
        <v>25</v>
      </c>
      <c r="D11" s="74">
        <f>+Becker!I31</f>
        <v>110.75000000000001</v>
      </c>
      <c r="E11" s="74">
        <f>+Becker!I52</f>
        <v>36.2</v>
      </c>
      <c r="F11" s="74">
        <f>+Becker!I61</f>
        <v>0</v>
      </c>
      <c r="G11" s="74">
        <v>-2.25</v>
      </c>
      <c r="H11" s="74">
        <f t="shared" si="0"/>
        <v>144.70000000000002</v>
      </c>
      <c r="I11" s="74">
        <f t="shared" si="1"/>
        <v>58.5</v>
      </c>
      <c r="J11" s="75">
        <f t="shared" si="2"/>
        <v>203.20000000000002</v>
      </c>
      <c r="L11" s="56">
        <f>+COUNTIF(Becker!$J$5:$J$29,"&gt;0")</f>
        <v>17</v>
      </c>
      <c r="M11" s="74">
        <f>+Becker!J31</f>
        <v>99.25000000000001</v>
      </c>
      <c r="O11" s="56">
        <f>+COUNTIF(Becker!$K$5:$K$29,"&gt;0")</f>
        <v>13</v>
      </c>
      <c r="P11" s="74">
        <f>+Becker!K31</f>
        <v>63.45</v>
      </c>
      <c r="R11" s="56">
        <f>+COUNTIF(Becker!$L$5:$L$29,"&gt;0")</f>
        <v>11</v>
      </c>
      <c r="S11" s="74">
        <f>+Becker!L31</f>
        <v>45.45</v>
      </c>
      <c r="U11" s="56">
        <f>+COUNTIF(Becker!$M$5:$M$29,"&gt;0")</f>
        <v>5</v>
      </c>
      <c r="V11" s="74">
        <f>+Becker!M31</f>
        <v>21.1</v>
      </c>
      <c r="X11" s="55">
        <v>3</v>
      </c>
      <c r="Y11" s="55">
        <v>2</v>
      </c>
      <c r="Z11" s="55">
        <v>2</v>
      </c>
      <c r="AA11" s="56">
        <f>M33+S33+V32+V32</f>
        <v>634</v>
      </c>
    </row>
    <row r="12" spans="1:27" s="57" customFormat="1" ht="15" customHeight="1">
      <c r="A12" s="73" t="s">
        <v>10</v>
      </c>
      <c r="C12" s="56">
        <f>+COUNTIF(Kuhn!$I$5:$I$29,"&gt;0")</f>
        <v>25</v>
      </c>
      <c r="D12" s="74">
        <f>+Kuhn!I31</f>
        <v>139.29999999999998</v>
      </c>
      <c r="E12" s="74">
        <f>+Kuhn!I48</f>
        <v>3.35</v>
      </c>
      <c r="F12" s="74">
        <f>+Kuhn!I57</f>
        <v>0</v>
      </c>
      <c r="G12" s="74">
        <v>0</v>
      </c>
      <c r="H12" s="74">
        <f t="shared" si="0"/>
        <v>142.64999999999998</v>
      </c>
      <c r="I12" s="74">
        <f t="shared" si="1"/>
        <v>50.3</v>
      </c>
      <c r="J12" s="75">
        <f t="shared" si="2"/>
        <v>192.95</v>
      </c>
      <c r="L12" s="56">
        <f>+COUNTIF(Kuhn!$J$5:$J$29,"&gt;0")</f>
        <v>13</v>
      </c>
      <c r="M12" s="74">
        <f>+Kuhn!J31</f>
        <v>71.95</v>
      </c>
      <c r="O12" s="56">
        <f>+COUNTIF(Kuhn!$K$5:$K$29,"&gt;0")</f>
        <v>11</v>
      </c>
      <c r="P12" s="74">
        <f>+Kuhn!K31</f>
        <v>68.60000000000001</v>
      </c>
      <c r="R12" s="56">
        <f>+COUNTIF(Kuhn!$L$5:$L$29,"&gt;0")</f>
        <v>7</v>
      </c>
      <c r="S12" s="74">
        <f>+Kuhn!L31</f>
        <v>28.8</v>
      </c>
      <c r="U12" s="56">
        <f>+COUNTIF(Kuhn!$M$5:$M$29,"&gt;0")</f>
        <v>4</v>
      </c>
      <c r="V12" s="74">
        <f>+Kuhn!M31</f>
        <v>24</v>
      </c>
      <c r="X12" s="55"/>
      <c r="Y12" s="55"/>
      <c r="Z12" s="55">
        <v>1</v>
      </c>
      <c r="AA12" s="56">
        <f>V32</f>
        <v>35</v>
      </c>
    </row>
    <row r="13" spans="1:27" s="57" customFormat="1" ht="15" customHeight="1">
      <c r="A13" s="73" t="s">
        <v>7</v>
      </c>
      <c r="C13" s="56">
        <f>+COUNTIF(Hunt!$I$5:$I$29,"&gt;0")</f>
        <v>25</v>
      </c>
      <c r="D13" s="74">
        <f>+Hunt!I31</f>
        <v>93.95</v>
      </c>
      <c r="E13" s="74">
        <f>+Hunt!I48</f>
        <v>46.4</v>
      </c>
      <c r="F13" s="74">
        <f>+Hunt!I57</f>
        <v>0</v>
      </c>
      <c r="G13" s="74">
        <v>0</v>
      </c>
      <c r="H13" s="74">
        <f t="shared" si="0"/>
        <v>140.35</v>
      </c>
      <c r="I13" s="74">
        <f t="shared" si="1"/>
        <v>41.1</v>
      </c>
      <c r="J13" s="75">
        <f t="shared" si="2"/>
        <v>181.45</v>
      </c>
      <c r="L13" s="56">
        <f>+COUNTIF(Hunt!$J$5:$J$29,"&gt;0")</f>
        <v>11</v>
      </c>
      <c r="M13" s="74">
        <f>+Hunt!J31</f>
        <v>36.3</v>
      </c>
      <c r="O13" s="56">
        <f>+COUNTIF(Hunt!$K$5:$K$29,"&gt;0")</f>
        <v>8</v>
      </c>
      <c r="P13" s="74">
        <f>+Hunt!K31</f>
        <v>24.5</v>
      </c>
      <c r="R13" s="56">
        <f>+COUNTIF(Hunt!$L$5:$L$29,"&gt;0")</f>
        <v>6</v>
      </c>
      <c r="S13" s="74">
        <f>+Hunt!L31</f>
        <v>20.25</v>
      </c>
      <c r="U13" s="56">
        <f>+COUNTIF(Hunt!$M$5:$M$29,"&gt;0")</f>
        <v>4</v>
      </c>
      <c r="V13" s="74">
        <f>+Hunt!M31</f>
        <v>8.05</v>
      </c>
      <c r="X13" s="55">
        <v>5</v>
      </c>
      <c r="Y13" s="55">
        <v>1</v>
      </c>
      <c r="Z13" s="55">
        <v>2</v>
      </c>
      <c r="AA13" s="56">
        <f>P31+S32+V32+V32</f>
        <v>690</v>
      </c>
    </row>
    <row r="14" spans="1:27" s="57" customFormat="1" ht="15" customHeight="1">
      <c r="A14" s="73" t="s">
        <v>407</v>
      </c>
      <c r="B14" s="73"/>
      <c r="C14" s="56">
        <f>+COUNTIF(Losurdo!$I$5:$I$29,"&gt;0")</f>
        <v>20</v>
      </c>
      <c r="D14" s="74">
        <f>+Losurdo!I31</f>
        <v>138.4</v>
      </c>
      <c r="E14" s="74">
        <f>+Losurdo!I48</f>
        <v>0</v>
      </c>
      <c r="F14" s="74">
        <f>+Losurdo!I57</f>
        <v>0</v>
      </c>
      <c r="G14" s="74">
        <v>0</v>
      </c>
      <c r="H14" s="74">
        <f t="shared" si="0"/>
        <v>138.4</v>
      </c>
      <c r="I14" s="74">
        <f t="shared" si="1"/>
        <v>33.3</v>
      </c>
      <c r="J14" s="75">
        <f t="shared" si="2"/>
        <v>171.7</v>
      </c>
      <c r="L14" s="56">
        <f>+COUNTIF(Losurdo!$J$5:$J$29,"&gt;0")</f>
        <v>13</v>
      </c>
      <c r="M14" s="74">
        <f>+Losurdo!J31</f>
        <v>106.7</v>
      </c>
      <c r="O14" s="56">
        <f>+COUNTIF(Losurdo!$K$5:$K$29,"&gt;0")</f>
        <v>11</v>
      </c>
      <c r="P14" s="74">
        <f>+Losurdo!K31</f>
        <v>80.2</v>
      </c>
      <c r="R14" s="56">
        <f>+COUNTIF(Losurdo!$L$5:$L$29,"&gt;0")</f>
        <v>6</v>
      </c>
      <c r="S14" s="74">
        <f>+Losurdo!L31</f>
        <v>46.75</v>
      </c>
      <c r="U14" s="56">
        <f>+COUNTIF(Losurdo!$M$5:$M$29,"&gt;0")</f>
        <v>4</v>
      </c>
      <c r="V14" s="74">
        <f>+Losurdo!M31</f>
        <v>38.5</v>
      </c>
      <c r="X14" s="55"/>
      <c r="Y14" s="55"/>
      <c r="Z14" s="55"/>
      <c r="AA14" s="56"/>
    </row>
    <row r="15" spans="1:27" s="57" customFormat="1" ht="15" customHeight="1">
      <c r="A15" s="73" t="s">
        <v>14</v>
      </c>
      <c r="C15" s="56">
        <f>+COUNTIF(Barton!$I$5:$I$29,"&gt;0")</f>
        <v>25</v>
      </c>
      <c r="D15" s="74">
        <f>+Barton!I31</f>
        <v>128.5</v>
      </c>
      <c r="E15" s="74">
        <f>+Barton!I50</f>
        <v>12.9</v>
      </c>
      <c r="F15" s="74">
        <f>+Barton!I59</f>
        <v>0</v>
      </c>
      <c r="G15" s="74">
        <v>-4</v>
      </c>
      <c r="H15" s="74">
        <f t="shared" si="0"/>
        <v>137.4</v>
      </c>
      <c r="I15" s="74">
        <f t="shared" si="1"/>
        <v>29.3</v>
      </c>
      <c r="J15" s="75">
        <f t="shared" si="2"/>
        <v>166.70000000000002</v>
      </c>
      <c r="L15" s="56">
        <f>+COUNTIF(Barton!$J$5:$J$29,"&gt;0")</f>
        <v>12</v>
      </c>
      <c r="M15" s="74">
        <f>+Barton!J31</f>
        <v>62.75000000000001</v>
      </c>
      <c r="O15" s="56">
        <f>+COUNTIF(Barton!$K$5:$K$29,"&gt;0")</f>
        <v>8</v>
      </c>
      <c r="P15" s="74">
        <f>+Barton!K31</f>
        <v>24.450000000000003</v>
      </c>
      <c r="R15" s="56">
        <f>+COUNTIF(Barton!$L$5:$L$29,"&gt;0")</f>
        <v>6</v>
      </c>
      <c r="S15" s="74">
        <f>+Barton!L31</f>
        <v>16.950000000000003</v>
      </c>
      <c r="U15" s="56">
        <f>+COUNTIF(Barton!$M$5:$M$29,"&gt;0")</f>
        <v>3</v>
      </c>
      <c r="V15" s="74">
        <f>+Barton!M31</f>
        <v>8.9</v>
      </c>
      <c r="X15" s="55">
        <v>6</v>
      </c>
      <c r="Y15" s="55"/>
      <c r="Z15" s="55"/>
      <c r="AA15" s="56">
        <f>P32</f>
        <v>127</v>
      </c>
    </row>
    <row r="16" spans="1:27" s="57" customFormat="1" ht="15" customHeight="1">
      <c r="A16" s="73" t="s">
        <v>15</v>
      </c>
      <c r="C16" s="56">
        <f>+COUNTIF(WoodfordB!$I$5:$I$29,"&gt;0")</f>
        <v>25</v>
      </c>
      <c r="D16" s="74">
        <f>+WoodfordB!I31</f>
        <v>75.85</v>
      </c>
      <c r="E16" s="74">
        <f>+WoodfordB!I48</f>
        <v>60.85</v>
      </c>
      <c r="F16" s="74">
        <f>+WoodfordB!I57</f>
        <v>0</v>
      </c>
      <c r="G16" s="74">
        <v>-1.25</v>
      </c>
      <c r="H16" s="74">
        <f t="shared" si="0"/>
        <v>135.45</v>
      </c>
      <c r="I16" s="74">
        <f t="shared" si="1"/>
        <v>21.5</v>
      </c>
      <c r="J16" s="75">
        <f t="shared" si="2"/>
        <v>156.95</v>
      </c>
      <c r="L16" s="56">
        <f>+COUNTIF(WoodfordB!$J$5:$J$29,"&gt;0")</f>
        <v>13</v>
      </c>
      <c r="M16" s="74">
        <f>+WoodfordB!J31</f>
        <v>48.35</v>
      </c>
      <c r="O16" s="56">
        <f>+COUNTIF(WoodfordB!$K$5:$K$29,"&gt;0")</f>
        <v>10</v>
      </c>
      <c r="P16" s="74">
        <f>+WoodfordB!K31</f>
        <v>28.900000000000002</v>
      </c>
      <c r="R16" s="56">
        <f>+COUNTIF(WoodfordB!$L$5:$L$29,"&gt;0")</f>
        <v>4</v>
      </c>
      <c r="S16" s="74">
        <f>+WoodfordB!L31</f>
        <v>5.75</v>
      </c>
      <c r="U16" s="56">
        <f>+COUNTIF(WoodfordB!$M$5:$M$29,"&gt;0")</f>
        <v>3</v>
      </c>
      <c r="V16" s="74">
        <f>+WoodfordB!M31</f>
        <v>4.35</v>
      </c>
      <c r="X16" s="55"/>
      <c r="Y16" s="55"/>
      <c r="Z16" s="55"/>
      <c r="AA16" s="56"/>
    </row>
    <row r="17" spans="1:27" s="57" customFormat="1" ht="15" customHeight="1">
      <c r="A17" s="73" t="s">
        <v>9</v>
      </c>
      <c r="C17" s="56">
        <f>+COUNTIF('Boyd A'!$I$5:$I$29,"&gt;0")</f>
        <v>25</v>
      </c>
      <c r="D17" s="74">
        <f>+'Boyd A'!I31</f>
        <v>128.3</v>
      </c>
      <c r="E17" s="74">
        <f>+'Boyd A'!I43</f>
        <v>1</v>
      </c>
      <c r="F17" s="74">
        <f>+'Boyd A'!I52</f>
        <v>6</v>
      </c>
      <c r="G17" s="74">
        <v>0</v>
      </c>
      <c r="H17" s="74">
        <f t="shared" si="0"/>
        <v>135.3</v>
      </c>
      <c r="I17" s="74">
        <f t="shared" si="1"/>
        <v>20.9</v>
      </c>
      <c r="J17" s="75">
        <f t="shared" si="2"/>
        <v>156.20000000000002</v>
      </c>
      <c r="L17" s="56">
        <f>+COUNTIF('Boyd A'!$J$5:$J$29,"&gt;0")</f>
        <v>9</v>
      </c>
      <c r="M17" s="74">
        <f>+'Boyd A'!J31</f>
        <v>97.7</v>
      </c>
      <c r="O17" s="56">
        <f>+COUNTIF('Boyd A'!$K$5:$K$29,"&gt;0")</f>
        <v>8</v>
      </c>
      <c r="P17" s="74">
        <f>+'Boyd A'!K31</f>
        <v>68.25</v>
      </c>
      <c r="R17" s="56">
        <f>+COUNTIF('Boyd A'!$L$5:$L$29,"&gt;0")</f>
        <v>4</v>
      </c>
      <c r="S17" s="74">
        <f>+'Boyd A'!L31</f>
        <v>43.55</v>
      </c>
      <c r="U17" s="56">
        <f>+COUNTIF('Boyd A'!$M$5:$M$29,"&gt;0")</f>
        <v>4</v>
      </c>
      <c r="V17" s="74">
        <f>+'Boyd A'!M31</f>
        <v>43.55</v>
      </c>
      <c r="X17" s="55"/>
      <c r="Y17" s="55"/>
      <c r="Z17" s="55"/>
      <c r="AA17" s="56"/>
    </row>
    <row r="18" spans="1:27" s="57" customFormat="1" ht="15" customHeight="1">
      <c r="A18" s="73" t="s">
        <v>8</v>
      </c>
      <c r="C18" s="56">
        <f>+COUNTIF(Krenz!$I$5:$I$29,"&gt;0")</f>
        <v>25</v>
      </c>
      <c r="D18" s="74">
        <f>+Krenz!I31</f>
        <v>104.75000000000001</v>
      </c>
      <c r="E18" s="74">
        <f>+Krenz!I48</f>
        <v>27.8</v>
      </c>
      <c r="F18" s="74">
        <f>+Krenz!I58</f>
        <v>4.1</v>
      </c>
      <c r="G18" s="74">
        <v>-3.15</v>
      </c>
      <c r="H18" s="74">
        <f t="shared" si="0"/>
        <v>133.5</v>
      </c>
      <c r="I18" s="74">
        <f t="shared" si="1"/>
        <v>13.7</v>
      </c>
      <c r="J18" s="75">
        <f t="shared" si="2"/>
        <v>147.2</v>
      </c>
      <c r="L18" s="56">
        <f>+COUNTIF(Krenz!$J$5:$J$29,"&gt;0")</f>
        <v>18</v>
      </c>
      <c r="M18" s="74">
        <f>+Krenz!J31</f>
        <v>73.05000000000001</v>
      </c>
      <c r="O18" s="56">
        <f>+COUNTIF(Krenz!$K$5:$K$29,"&gt;0")</f>
        <v>17</v>
      </c>
      <c r="P18" s="74">
        <f>+Krenz!K31</f>
        <v>67.80000000000001</v>
      </c>
      <c r="R18" s="56">
        <f>+COUNTIF(Krenz!$L$5:$L$29,"&gt;0")</f>
        <v>9</v>
      </c>
      <c r="S18" s="74">
        <f>+Krenz!L31</f>
        <v>35.800000000000004</v>
      </c>
      <c r="U18" s="56">
        <f>+COUNTIF(Krenz!$M$5:$M$29,"&gt;0")</f>
        <v>5</v>
      </c>
      <c r="V18" s="74">
        <f>+Krenz!M31</f>
        <v>22.6</v>
      </c>
      <c r="X18" s="55"/>
      <c r="Y18" s="55"/>
      <c r="Z18" s="55"/>
      <c r="AA18" s="56"/>
    </row>
    <row r="19" spans="1:27" s="57" customFormat="1" ht="15" customHeight="1">
      <c r="A19" s="73" t="s">
        <v>21</v>
      </c>
      <c r="C19" s="56">
        <f>+COUNTIF(Berdie!$I$5:$I$29,"&gt;0")</f>
        <v>24</v>
      </c>
      <c r="D19" s="74">
        <f>+Berdie!I31</f>
        <v>101.3</v>
      </c>
      <c r="E19" s="74">
        <f>+Berdie!I57</f>
        <v>50.45</v>
      </c>
      <c r="F19" s="74">
        <f>+Berdie!I67</f>
        <v>-1.8499999999999996</v>
      </c>
      <c r="G19" s="74">
        <v>-18.05</v>
      </c>
      <c r="H19" s="74">
        <f t="shared" si="0"/>
        <v>131.85</v>
      </c>
      <c r="I19" s="74">
        <f t="shared" si="1"/>
        <v>10.85</v>
      </c>
      <c r="J19" s="75">
        <f t="shared" si="2"/>
        <v>142.7</v>
      </c>
      <c r="L19" s="56">
        <f>+COUNTIF(Berdie!$J$5:$J$29,"&gt;0")</f>
        <v>17</v>
      </c>
      <c r="M19" s="74">
        <f>+Berdie!J31</f>
        <v>76.35</v>
      </c>
      <c r="O19" s="56">
        <f>+COUNTIF(Berdie!$K$5:$K$29,"&gt;0")</f>
        <v>12</v>
      </c>
      <c r="P19" s="74">
        <f>+Berdie!K31</f>
        <v>50.35000000000001</v>
      </c>
      <c r="R19" s="56">
        <f>+COUNTIF(Berdie!$L$5:$L$29,"&gt;0")</f>
        <v>7</v>
      </c>
      <c r="S19" s="74">
        <f>+Berdie!L31</f>
        <v>31.150000000000006</v>
      </c>
      <c r="U19" s="56">
        <f>+COUNTIF(Berdie!$M$5:$M$29,"&gt;0")</f>
        <v>3</v>
      </c>
      <c r="V19" s="74">
        <f>+Berdie!M31</f>
        <v>5.6</v>
      </c>
      <c r="X19" s="55"/>
      <c r="Y19" s="55"/>
      <c r="Z19" s="55"/>
      <c r="AA19" s="56"/>
    </row>
    <row r="20" spans="1:27" s="57" customFormat="1" ht="15" customHeight="1">
      <c r="A20" s="73" t="s">
        <v>18</v>
      </c>
      <c r="C20" s="56">
        <f>+COUNTIF(Cadmus!$I$5:$I$29,"&gt;0")</f>
        <v>25</v>
      </c>
      <c r="D20" s="74">
        <f>+Cadmus!I31</f>
        <v>121.64999999999998</v>
      </c>
      <c r="E20" s="74">
        <f>+Cadmus!I43</f>
        <v>10.55</v>
      </c>
      <c r="F20" s="74">
        <f>+Cadmus!I52</f>
        <v>0</v>
      </c>
      <c r="G20" s="74">
        <v>-1.25</v>
      </c>
      <c r="H20" s="74">
        <f t="shared" si="0"/>
        <v>130.95</v>
      </c>
      <c r="I20" s="74">
        <f t="shared" si="1"/>
        <v>9.95</v>
      </c>
      <c r="J20" s="75">
        <f t="shared" si="2"/>
        <v>140.89999999999998</v>
      </c>
      <c r="L20" s="56">
        <f>+COUNTIF(Cadmus!$J$5:$J$29,"&gt;0")</f>
        <v>11</v>
      </c>
      <c r="M20" s="74">
        <f>+Cadmus!J31</f>
        <v>29.099999999999998</v>
      </c>
      <c r="O20" s="56">
        <f>+COUNTIF(Cadmus!$K$5:$K$29,"&gt;0")</f>
        <v>10</v>
      </c>
      <c r="P20" s="74">
        <f>+Cadmus!K31</f>
        <v>23.4</v>
      </c>
      <c r="R20" s="56">
        <f>+COUNTIF(Cadmus!$L$5:$L$29,"&gt;0")</f>
        <v>6</v>
      </c>
      <c r="S20" s="74">
        <f>+Cadmus!L31</f>
        <v>13.1</v>
      </c>
      <c r="U20" s="56">
        <f>+COUNTIF(Cadmus!$M$5:$M$29,"&gt;0")</f>
        <v>2</v>
      </c>
      <c r="V20" s="74">
        <f>+Cadmus!M31</f>
        <v>3.4</v>
      </c>
      <c r="X20" s="55">
        <v>8</v>
      </c>
      <c r="Y20" s="55"/>
      <c r="Z20" s="55"/>
      <c r="AA20" s="56">
        <f>P34</f>
        <v>42</v>
      </c>
    </row>
    <row r="21" spans="1:27" s="57" customFormat="1" ht="15" customHeight="1">
      <c r="A21" s="73" t="s">
        <v>22</v>
      </c>
      <c r="C21" s="56">
        <f>+COUNTIF('Boyd C'!$I$5:$I$29,"&gt;0")</f>
        <v>25</v>
      </c>
      <c r="D21" s="74">
        <f>+'Boyd C'!I31</f>
        <v>121.94999999999999</v>
      </c>
      <c r="E21" s="74">
        <f>+'Boyd C'!I46</f>
        <v>15.850000000000001</v>
      </c>
      <c r="F21" s="74">
        <f>+'Boyd C'!I55</f>
        <v>-6</v>
      </c>
      <c r="G21" s="74">
        <v>-1.7</v>
      </c>
      <c r="H21" s="74">
        <f t="shared" si="0"/>
        <v>130.1</v>
      </c>
      <c r="I21" s="74">
        <f t="shared" si="1"/>
        <v>9.1</v>
      </c>
      <c r="J21" s="75">
        <f t="shared" si="2"/>
        <v>139.2</v>
      </c>
      <c r="K21" s="76"/>
      <c r="L21" s="56">
        <f>+COUNTIF('Boyd C'!$J$5:$J$29,"&gt;0")</f>
        <v>19</v>
      </c>
      <c r="M21" s="74">
        <f>+'Boyd C'!J31</f>
        <v>82.54999999999998</v>
      </c>
      <c r="O21" s="56">
        <f>+COUNTIF('Boyd C'!$K$5:$K$29,"&gt;0")</f>
        <v>12</v>
      </c>
      <c r="P21" s="74">
        <f>+'Boyd C'!K31</f>
        <v>46.15</v>
      </c>
      <c r="R21" s="56">
        <f>+COUNTIF('Boyd C'!$L$5:$L$29,"&gt;0")</f>
        <v>8</v>
      </c>
      <c r="S21" s="74">
        <f>+'Boyd C'!L31</f>
        <v>27.25</v>
      </c>
      <c r="U21" s="56">
        <f>+COUNTIF('Boyd C'!$M$5:$M$29,"&gt;0")</f>
        <v>5</v>
      </c>
      <c r="V21" s="74">
        <f>+'Boyd C'!M31</f>
        <v>12.9</v>
      </c>
      <c r="X21" s="55">
        <v>4</v>
      </c>
      <c r="Y21" s="55"/>
      <c r="Z21" s="55">
        <v>3</v>
      </c>
      <c r="AA21" s="56">
        <f>V32*3+M34</f>
        <v>337</v>
      </c>
    </row>
    <row r="22" spans="1:27" s="57" customFormat="1" ht="15" customHeight="1">
      <c r="A22" s="105" t="s">
        <v>23</v>
      </c>
      <c r="C22" s="56">
        <f>+COUNTIF(Griswold!$I$5:$I$29,"&gt;0")</f>
        <v>25</v>
      </c>
      <c r="D22" s="74">
        <f>+Griswold!I31</f>
        <v>119.8</v>
      </c>
      <c r="E22" s="74">
        <f>+Griswold!I50</f>
        <v>9.15</v>
      </c>
      <c r="F22" s="74">
        <f>+Griswold!I59</f>
        <v>0</v>
      </c>
      <c r="G22" s="74">
        <v>0</v>
      </c>
      <c r="H22" s="74">
        <f t="shared" si="0"/>
        <v>128.95</v>
      </c>
      <c r="I22" s="74">
        <f t="shared" si="1"/>
        <v>7.95</v>
      </c>
      <c r="J22" s="75">
        <f t="shared" si="2"/>
        <v>136.89999999999998</v>
      </c>
      <c r="L22" s="56">
        <f>+COUNTIF(Griswold!$J$5:$J$29,"&gt;0")</f>
        <v>19</v>
      </c>
      <c r="M22" s="74">
        <f>+Griswold!J31</f>
        <v>70.7</v>
      </c>
      <c r="O22" s="56">
        <f>+COUNTIF(Griswold!$K$5:$K$29,"&gt;0")</f>
        <v>19</v>
      </c>
      <c r="P22" s="74">
        <f>+Griswold!K31</f>
        <v>70.7</v>
      </c>
      <c r="R22" s="56">
        <f>+COUNTIF(Griswold!$L$5:$L$29,"&gt;0")</f>
        <v>13</v>
      </c>
      <c r="S22" s="74">
        <f>+Griswold!L31</f>
        <v>41.3</v>
      </c>
      <c r="U22" s="56">
        <f>+COUNTIF(Griswold!$M$5:$M$29,"&gt;0")</f>
        <v>7</v>
      </c>
      <c r="V22" s="74">
        <f>+Griswold!M31</f>
        <v>19.299999999999997</v>
      </c>
      <c r="X22" s="55"/>
      <c r="Y22" s="55"/>
      <c r="Z22" s="55"/>
      <c r="AA22" s="56"/>
    </row>
    <row r="23" spans="1:27" s="57" customFormat="1" ht="15" customHeight="1">
      <c r="A23" s="73" t="s">
        <v>20</v>
      </c>
      <c r="C23" s="56">
        <f>+COUNTIF(Deffner!$I$5:$I$29,"&gt;0")</f>
        <v>25</v>
      </c>
      <c r="D23" s="74">
        <f>+Deffner!I31</f>
        <v>120.45</v>
      </c>
      <c r="E23" s="74">
        <f>+Deffner!I46</f>
        <v>8.15</v>
      </c>
      <c r="F23" s="74">
        <f>+Deffner!I55</f>
        <v>0</v>
      </c>
      <c r="G23" s="74">
        <v>0</v>
      </c>
      <c r="H23" s="74">
        <f t="shared" si="0"/>
        <v>128.6</v>
      </c>
      <c r="I23" s="74">
        <f t="shared" si="1"/>
        <v>7.6</v>
      </c>
      <c r="J23" s="75">
        <f t="shared" si="2"/>
        <v>136.2</v>
      </c>
      <c r="L23" s="56">
        <f>+COUNTIF(Deffner!$J$5:$J$29,"&gt;0")</f>
        <v>11</v>
      </c>
      <c r="M23" s="74">
        <f>+Deffner!J31</f>
        <v>77.15</v>
      </c>
      <c r="O23" s="56">
        <f>+COUNTIF(Deffner!$K$5:$K$29,"&gt;0")</f>
        <v>5</v>
      </c>
      <c r="P23" s="74">
        <f>+Deffner!K31</f>
        <v>10.65</v>
      </c>
      <c r="R23" s="56">
        <f>+COUNTIF(Deffner!$L$5:$L$29,"&gt;0")</f>
        <v>3</v>
      </c>
      <c r="S23" s="74">
        <f>+Deffner!L31</f>
        <v>6.15</v>
      </c>
      <c r="U23" s="56">
        <f>+COUNTIF(Deffner!$M$5:$M$29,"&gt;0")</f>
        <v>3</v>
      </c>
      <c r="V23" s="74">
        <f>+Deffner!M31</f>
        <v>6.15</v>
      </c>
      <c r="X23" s="55"/>
      <c r="Y23" s="55"/>
      <c r="Z23" s="55">
        <v>1</v>
      </c>
      <c r="AA23" s="56">
        <f>V32</f>
        <v>35</v>
      </c>
    </row>
    <row r="24" spans="1:27" s="57" customFormat="1" ht="15" customHeight="1">
      <c r="A24" s="73" t="s">
        <v>16</v>
      </c>
      <c r="C24" s="56">
        <f>+COUNTIF(Bellaire!$I$5:$I$29,"&gt;0")</f>
        <v>24</v>
      </c>
      <c r="D24" s="74">
        <f>+Bellaire!I31</f>
        <v>116.9</v>
      </c>
      <c r="E24" s="74">
        <f>+Bellaire!I48</f>
        <v>1.3</v>
      </c>
      <c r="F24" s="74">
        <f>+Bellaire!I57</f>
        <v>0</v>
      </c>
      <c r="G24" s="74">
        <v>0</v>
      </c>
      <c r="H24" s="74">
        <f t="shared" si="0"/>
        <v>118.2</v>
      </c>
      <c r="I24" s="74">
        <f t="shared" si="1"/>
        <v>0</v>
      </c>
      <c r="J24" s="75">
        <f t="shared" si="2"/>
        <v>118.2</v>
      </c>
      <c r="L24" s="56">
        <f>+COUNTIF(Bellaire!$J$5:$J$29,"&gt;0")</f>
        <v>18</v>
      </c>
      <c r="M24" s="74">
        <f>+Bellaire!J31</f>
        <v>84.4</v>
      </c>
      <c r="O24" s="56">
        <f>+COUNTIF(Bellaire!$K$5:$K$29,"&gt;0")</f>
        <v>18</v>
      </c>
      <c r="P24" s="74">
        <f>+Bellaire!K31</f>
        <v>84.4</v>
      </c>
      <c r="R24" s="56">
        <f>+COUNTIF(Bellaire!$L$5:$L$29,"&gt;0")</f>
        <v>9</v>
      </c>
      <c r="S24" s="74">
        <f>+Bellaire!L31</f>
        <v>63.1</v>
      </c>
      <c r="U24" s="56">
        <f>+COUNTIF(Bellaire!$M$5:$M$29,"&gt;0")</f>
        <v>3</v>
      </c>
      <c r="V24" s="74">
        <f>+Bellaire!M31</f>
        <v>7.050000000000001</v>
      </c>
      <c r="X24" s="55"/>
      <c r="Y24" s="55"/>
      <c r="Z24" s="55"/>
      <c r="AA24" s="56"/>
    </row>
    <row r="25" spans="1:27" s="57" customFormat="1" ht="15" customHeight="1">
      <c r="A25" s="73" t="s">
        <v>13</v>
      </c>
      <c r="C25" s="56">
        <f>+COUNTIF(Eggert!$I$5:$I$29,"&gt;0")</f>
        <v>22</v>
      </c>
      <c r="D25" s="74">
        <f>+Eggert!I31</f>
        <v>113.45</v>
      </c>
      <c r="E25" s="74">
        <f>+Eggert!I43</f>
        <v>0</v>
      </c>
      <c r="F25" s="74">
        <f>+Eggert!I52</f>
        <v>0</v>
      </c>
      <c r="G25" s="74">
        <v>0</v>
      </c>
      <c r="H25" s="74">
        <f t="shared" si="0"/>
        <v>113.45</v>
      </c>
      <c r="I25" s="74">
        <f t="shared" si="1"/>
        <v>0</v>
      </c>
      <c r="J25" s="75">
        <f t="shared" si="2"/>
        <v>113.45</v>
      </c>
      <c r="L25" s="56">
        <f>+COUNTIF(Eggert!$J$5:$J$29,"&gt;0")</f>
        <v>9</v>
      </c>
      <c r="M25" s="74">
        <f>+Eggert!J31</f>
        <v>75.8</v>
      </c>
      <c r="O25" s="56">
        <f>+COUNTIF(Eggert!$K$5:$K$29,"&gt;0")</f>
        <v>7</v>
      </c>
      <c r="P25" s="74">
        <f>+Eggert!K31</f>
        <v>71.25</v>
      </c>
      <c r="R25" s="56">
        <f>+COUNTIF(Eggert!$L$5:$L$29,"&gt;0")</f>
        <v>3</v>
      </c>
      <c r="S25" s="74">
        <f>+Eggert!L31</f>
        <v>8.6</v>
      </c>
      <c r="U25" s="56">
        <f>+COUNTIF(Eggert!$M$5:$M$29,"&gt;0")</f>
        <v>2</v>
      </c>
      <c r="V25" s="74">
        <f>+Eggert!M31</f>
        <v>6.1</v>
      </c>
      <c r="X25" s="55"/>
      <c r="Y25" s="55"/>
      <c r="Z25" s="55"/>
      <c r="AA25" s="56"/>
    </row>
    <row r="26" spans="1:27" s="57" customFormat="1" ht="15" customHeight="1">
      <c r="A26" s="73" t="s">
        <v>11</v>
      </c>
      <c r="C26" s="56">
        <f>+COUNTIF(Mehta!$I$5:$I$29,"&gt;0")</f>
        <v>25</v>
      </c>
      <c r="D26" s="74">
        <f>+Mehta!I31</f>
        <v>74.94999999999999</v>
      </c>
      <c r="E26" s="74">
        <f>+Mehta!I48</f>
        <v>12.45</v>
      </c>
      <c r="F26" s="74">
        <f>+Mehta!I57</f>
        <v>6.15</v>
      </c>
      <c r="G26" s="74">
        <v>-2.25</v>
      </c>
      <c r="H26" s="74">
        <f t="shared" si="0"/>
        <v>91.3</v>
      </c>
      <c r="I26" s="74">
        <f t="shared" si="1"/>
        <v>0</v>
      </c>
      <c r="J26" s="75">
        <f t="shared" si="2"/>
        <v>91.3</v>
      </c>
      <c r="L26" s="56">
        <f>+COUNTIF(Mehta!$J$5:$J$29,"&gt;0")</f>
        <v>7</v>
      </c>
      <c r="M26" s="74">
        <f>+Mehta!J31</f>
        <v>32.6</v>
      </c>
      <c r="O26" s="56">
        <f>+COUNTIF(Mehta!$K$5:$K$29,"&gt;0")</f>
        <v>7</v>
      </c>
      <c r="P26" s="74">
        <f>+Mehta!K31</f>
        <v>32.6</v>
      </c>
      <c r="R26" s="56">
        <f>+COUNTIF(Mehta!$L$5:$L$29,"&gt;0")</f>
        <v>3</v>
      </c>
      <c r="S26" s="74">
        <f>+Mehta!L31</f>
        <v>3.6</v>
      </c>
      <c r="U26" s="56">
        <f>+COUNTIF(Mehta!$M$5:$M$29,"&gt;0")</f>
        <v>2</v>
      </c>
      <c r="V26" s="74">
        <f>+Mehta!M31</f>
        <v>2.5</v>
      </c>
      <c r="X26" s="55"/>
      <c r="Y26" s="55"/>
      <c r="Z26" s="55"/>
      <c r="AA26" s="56"/>
    </row>
    <row r="27" spans="1:27" s="57" customFormat="1" ht="15" customHeight="1">
      <c r="A27" s="77"/>
      <c r="B27" s="78"/>
      <c r="C27" s="79"/>
      <c r="D27" s="80"/>
      <c r="E27" s="80"/>
      <c r="F27" s="80"/>
      <c r="G27" s="80"/>
      <c r="H27" s="80"/>
      <c r="I27" s="80"/>
      <c r="J27" s="81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AA27" s="58">
        <f>SUM(AA7:AA26)</f>
        <v>3607</v>
      </c>
    </row>
    <row r="28" ht="7.5" customHeight="1"/>
    <row r="29" spans="4:22" ht="12.75">
      <c r="D29" s="82" t="s">
        <v>26</v>
      </c>
      <c r="E29" s="82"/>
      <c r="F29" s="83"/>
      <c r="G29" s="71" t="s">
        <v>27</v>
      </c>
      <c r="H29" s="84" t="s">
        <v>28</v>
      </c>
      <c r="I29" s="84" t="s">
        <v>5</v>
      </c>
      <c r="J29" s="84" t="s">
        <v>6</v>
      </c>
      <c r="L29" s="85" t="s">
        <v>29</v>
      </c>
      <c r="M29" s="85"/>
      <c r="N29" s="85"/>
      <c r="O29" s="85"/>
      <c r="P29" s="85"/>
      <c r="R29" s="85" t="s">
        <v>30</v>
      </c>
      <c r="S29" s="85"/>
      <c r="T29" s="84"/>
      <c r="U29" s="85" t="s">
        <v>31</v>
      </c>
      <c r="V29" s="85"/>
    </row>
    <row r="30" spans="7:8" ht="6" customHeight="1">
      <c r="G30" s="86"/>
      <c r="H30" s="87"/>
    </row>
    <row r="31" spans="1:22" ht="15.75">
      <c r="A31" s="88" t="s">
        <v>32</v>
      </c>
      <c r="B31" s="88"/>
      <c r="C31" s="88"/>
      <c r="D31" s="89">
        <f>+SUM(H7:H26)</f>
        <v>2687.9999999999995</v>
      </c>
      <c r="E31" s="89"/>
      <c r="G31" s="90">
        <v>2005</v>
      </c>
      <c r="H31" s="91">
        <v>121</v>
      </c>
      <c r="I31" s="92">
        <f>SUM(C7:C26)</f>
        <v>489</v>
      </c>
      <c r="J31" s="91">
        <f>+SUM(H7:H26)</f>
        <v>2687.9999999999995</v>
      </c>
      <c r="L31" s="90" t="s">
        <v>33</v>
      </c>
      <c r="M31" s="93">
        <f>+ROUND(($D$34-S31-V31)*0.32,0)</f>
        <v>675</v>
      </c>
      <c r="N31" s="91"/>
      <c r="O31" s="90" t="s">
        <v>34</v>
      </c>
      <c r="P31" s="93">
        <f>+ROUND(($D$34-S31-V31)*0.08,0)</f>
        <v>169</v>
      </c>
      <c r="R31" s="90" t="s">
        <v>4</v>
      </c>
      <c r="S31" s="91">
        <f>ROUND(D34*0.25,0)</f>
        <v>902</v>
      </c>
      <c r="U31" s="90" t="s">
        <v>4</v>
      </c>
      <c r="V31" s="93">
        <f>V32*17</f>
        <v>595</v>
      </c>
    </row>
    <row r="32" spans="1:22" ht="15.75">
      <c r="A32" s="88" t="s">
        <v>3</v>
      </c>
      <c r="B32" s="88"/>
      <c r="C32" s="88"/>
      <c r="D32" s="89">
        <f>+SUM(I7:I26)</f>
        <v>790.5000000000001</v>
      </c>
      <c r="E32" s="89"/>
      <c r="G32" s="90">
        <v>2006</v>
      </c>
      <c r="H32" s="91">
        <v>133</v>
      </c>
      <c r="I32" s="92">
        <f>SUM(L7:L26)</f>
        <v>279</v>
      </c>
      <c r="J32" s="91">
        <f>SUM(M7:M26)</f>
        <v>1401.4</v>
      </c>
      <c r="L32" s="90" t="s">
        <v>35</v>
      </c>
      <c r="M32" s="93">
        <f>+ROUND(($D$34-S31-V31)*0.21,0)</f>
        <v>443</v>
      </c>
      <c r="N32" s="91"/>
      <c r="O32" s="90" t="s">
        <v>36</v>
      </c>
      <c r="P32" s="93">
        <f>+ROUND(($D$34-S31-V31)*0.06,0)</f>
        <v>127</v>
      </c>
      <c r="R32" s="90" t="s">
        <v>33</v>
      </c>
      <c r="S32" s="91">
        <f>ROUND(0.5*S31,0)</f>
        <v>451</v>
      </c>
      <c r="U32" s="90" t="s">
        <v>37</v>
      </c>
      <c r="V32" s="93">
        <f>FLOOR(0.3*H31,5)</f>
        <v>35</v>
      </c>
    </row>
    <row r="33" spans="1:22" ht="15.75">
      <c r="A33" s="88" t="s">
        <v>38</v>
      </c>
      <c r="B33" s="88"/>
      <c r="C33" s="88"/>
      <c r="D33" s="89">
        <f>+SUM(J7:J26)</f>
        <v>3478.4999999999995</v>
      </c>
      <c r="E33" s="89"/>
      <c r="G33" s="90">
        <v>2007</v>
      </c>
      <c r="H33" s="91">
        <v>146</v>
      </c>
      <c r="I33" s="92">
        <f>SUM(O7:O26)</f>
        <v>226</v>
      </c>
      <c r="J33" s="91">
        <f>SUM(P7:P26)</f>
        <v>990.3499999999999</v>
      </c>
      <c r="L33" s="90" t="s">
        <v>39</v>
      </c>
      <c r="M33" s="93">
        <f>+ROUND(($D$34-S31-V31)*0.16,0)</f>
        <v>338</v>
      </c>
      <c r="N33" s="91"/>
      <c r="O33" s="90" t="s">
        <v>40</v>
      </c>
      <c r="P33" s="93">
        <f>+ROUND(($D$34-S31-V31)*0.04,0)</f>
        <v>84</v>
      </c>
      <c r="R33" s="90" t="s">
        <v>35</v>
      </c>
      <c r="S33" s="91">
        <f>ROUND(0.25*S31,0)</f>
        <v>226</v>
      </c>
      <c r="V33" s="93"/>
    </row>
    <row r="34" spans="1:22" ht="15.75">
      <c r="A34" s="88" t="s">
        <v>41</v>
      </c>
      <c r="B34" s="88"/>
      <c r="C34" s="88"/>
      <c r="D34" s="94">
        <f>FLOOR(SUMIF(H7:H26,"&lt;=121",H7:H26)+121*COUNTIF(H7:H26,"&gt;121"),1)+1382-33-121</f>
        <v>3607</v>
      </c>
      <c r="E34" s="94"/>
      <c r="G34" s="90">
        <v>2008</v>
      </c>
      <c r="H34" s="91">
        <v>161</v>
      </c>
      <c r="I34" s="92">
        <f>SUM(R7:R26)</f>
        <v>134</v>
      </c>
      <c r="J34" s="91">
        <f>SUM(S7:S26)</f>
        <v>506.7000000000001</v>
      </c>
      <c r="L34" s="90" t="s">
        <v>42</v>
      </c>
      <c r="M34" s="93">
        <f>+ROUND(($D$34-S31-V31)*0.11,0)</f>
        <v>232</v>
      </c>
      <c r="N34" s="91"/>
      <c r="O34" s="90" t="s">
        <v>43</v>
      </c>
      <c r="P34" s="93">
        <f>+ROUND(($D$34-S31-V31)*0.02,0)</f>
        <v>42</v>
      </c>
      <c r="R34" s="90" t="s">
        <v>39</v>
      </c>
      <c r="S34" s="91">
        <f>ROUND(0.15*S31,0)</f>
        <v>135</v>
      </c>
      <c r="V34" s="93"/>
    </row>
    <row r="35" spans="1:22" ht="15.75">
      <c r="A35" s="95"/>
      <c r="B35" s="96" t="s">
        <v>44</v>
      </c>
      <c r="C35" s="96"/>
      <c r="D35" s="94">
        <v>1084.1</v>
      </c>
      <c r="E35" s="94"/>
      <c r="G35" s="90">
        <v>2009</v>
      </c>
      <c r="H35" s="91">
        <v>177</v>
      </c>
      <c r="I35" s="92">
        <f>SUM(U7:U26)</f>
        <v>72</v>
      </c>
      <c r="J35" s="91">
        <f>SUM(V7:V26)</f>
        <v>267.9</v>
      </c>
      <c r="N35" s="91"/>
      <c r="O35" s="90"/>
      <c r="P35" s="93"/>
      <c r="R35" s="90" t="s">
        <v>45</v>
      </c>
      <c r="S35" s="91">
        <f>S31-S32-S33-S34</f>
        <v>90</v>
      </c>
      <c r="V35" s="93"/>
    </row>
    <row r="36" spans="1:22" ht="7.5" customHeight="1">
      <c r="A36" s="97"/>
      <c r="B36" s="97"/>
      <c r="C36" s="98"/>
      <c r="D36" s="99"/>
      <c r="E36" s="99"/>
      <c r="F36" s="99"/>
      <c r="G36" s="99"/>
      <c r="H36" s="97"/>
      <c r="I36" s="100"/>
      <c r="J36" s="101"/>
      <c r="K36" s="97"/>
      <c r="L36" s="102"/>
      <c r="M36" s="101"/>
      <c r="N36" s="101"/>
      <c r="O36" s="97"/>
      <c r="P36" s="97"/>
      <c r="Q36" s="97"/>
      <c r="R36" s="97"/>
      <c r="S36" s="97"/>
      <c r="T36" s="97"/>
      <c r="U36" s="97"/>
      <c r="V36" s="103"/>
    </row>
    <row r="37" spans="11:19" ht="12.75">
      <c r="K37" s="91"/>
      <c r="R37" s="90"/>
      <c r="S37" s="93"/>
    </row>
    <row r="38" spans="1:19" ht="12.75">
      <c r="A38" s="104" t="s">
        <v>656</v>
      </c>
      <c r="K38" s="91"/>
      <c r="R38" s="90"/>
      <c r="S38" s="93"/>
    </row>
    <row r="39" spans="1:11" ht="12.75">
      <c r="A39" s="63" t="s">
        <v>657</v>
      </c>
      <c r="K39" s="91"/>
    </row>
    <row r="40" spans="1:11" ht="12.75">
      <c r="A40" s="63" t="s">
        <v>658</v>
      </c>
      <c r="K40" s="91"/>
    </row>
    <row r="41" ht="12.75">
      <c r="A41" s="63" t="s">
        <v>659</v>
      </c>
    </row>
    <row r="42" ht="12.75">
      <c r="A42" s="63" t="s">
        <v>685</v>
      </c>
    </row>
    <row r="43" ht="12.75">
      <c r="A43" s="63" t="s">
        <v>684</v>
      </c>
    </row>
    <row r="44" ht="12.75">
      <c r="A44" s="63" t="s">
        <v>687</v>
      </c>
    </row>
    <row r="45" ht="12.75">
      <c r="A45" s="63" t="s">
        <v>686</v>
      </c>
    </row>
  </sheetData>
  <sheetProtection/>
  <mergeCells count="20">
    <mergeCell ref="A32:C32"/>
    <mergeCell ref="A31:C31"/>
    <mergeCell ref="A33:C33"/>
    <mergeCell ref="A34:C34"/>
    <mergeCell ref="D29:E29"/>
    <mergeCell ref="L29:P29"/>
    <mergeCell ref="R29:S29"/>
    <mergeCell ref="U29:V29"/>
    <mergeCell ref="D35:E35"/>
    <mergeCell ref="D36:G36"/>
    <mergeCell ref="D31:E31"/>
    <mergeCell ref="D32:E32"/>
    <mergeCell ref="D33:E33"/>
    <mergeCell ref="D34:E34"/>
    <mergeCell ref="U3:V3"/>
    <mergeCell ref="Q1:V1"/>
    <mergeCell ref="C3:J3"/>
    <mergeCell ref="L3:M3"/>
    <mergeCell ref="O3:P3"/>
    <mergeCell ref="R3:S3"/>
  </mergeCells>
  <printOptions horizontalCentered="1"/>
  <pageMargins left="0.25" right="0.25" top="0.5" bottom="0.5" header="0.5" footer="0.5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25" t="s">
        <v>431</v>
      </c>
      <c r="C5" s="20" t="s">
        <v>48</v>
      </c>
      <c r="D5" s="20" t="s">
        <v>100</v>
      </c>
      <c r="E5" s="26" t="s">
        <v>64</v>
      </c>
      <c r="F5" s="28">
        <v>2.15</v>
      </c>
      <c r="G5" s="32">
        <v>2009</v>
      </c>
      <c r="I5" s="31">
        <f aca="true" t="shared" si="0" ref="I5:M14">+IF($G5&gt;=I$3,$F5,0)</f>
        <v>2.15</v>
      </c>
      <c r="J5" s="31">
        <f t="shared" si="0"/>
        <v>2.15</v>
      </c>
      <c r="K5" s="31">
        <f t="shared" si="0"/>
        <v>2.15</v>
      </c>
      <c r="L5" s="31">
        <f t="shared" si="0"/>
        <v>2.15</v>
      </c>
      <c r="M5" s="31">
        <f t="shared" si="0"/>
        <v>2.15</v>
      </c>
    </row>
    <row r="6" spans="1:13" ht="12.75">
      <c r="A6" s="24">
        <v>2</v>
      </c>
      <c r="B6" s="25" t="s">
        <v>455</v>
      </c>
      <c r="C6" s="20" t="s">
        <v>47</v>
      </c>
      <c r="D6" s="20" t="s">
        <v>223</v>
      </c>
      <c r="E6" s="26" t="s">
        <v>64</v>
      </c>
      <c r="F6" s="28">
        <v>1.25</v>
      </c>
      <c r="G6" s="32">
        <v>2009</v>
      </c>
      <c r="I6" s="31">
        <f t="shared" si="0"/>
        <v>1.25</v>
      </c>
      <c r="J6" s="31">
        <f t="shared" si="0"/>
        <v>1.25</v>
      </c>
      <c r="K6" s="31">
        <f t="shared" si="0"/>
        <v>1.25</v>
      </c>
      <c r="L6" s="31">
        <f t="shared" si="0"/>
        <v>1.25</v>
      </c>
      <c r="M6" s="31">
        <f t="shared" si="0"/>
        <v>1.25</v>
      </c>
    </row>
    <row r="7" spans="1:13" ht="12.75">
      <c r="A7" s="24">
        <v>3</v>
      </c>
      <c r="B7" s="25" t="s">
        <v>351</v>
      </c>
      <c r="C7" s="20" t="s">
        <v>52</v>
      </c>
      <c r="D7" s="20" t="s">
        <v>98</v>
      </c>
      <c r="E7" s="26" t="s">
        <v>64</v>
      </c>
      <c r="F7" s="28">
        <v>4.25</v>
      </c>
      <c r="G7" s="32">
        <v>2008</v>
      </c>
      <c r="I7" s="31">
        <f t="shared" si="0"/>
        <v>4.25</v>
      </c>
      <c r="J7" s="31">
        <f t="shared" si="0"/>
        <v>4.25</v>
      </c>
      <c r="K7" s="31">
        <f t="shared" si="0"/>
        <v>4.25</v>
      </c>
      <c r="L7" s="31">
        <f t="shared" si="0"/>
        <v>4.25</v>
      </c>
      <c r="M7" s="31">
        <f t="shared" si="0"/>
        <v>0</v>
      </c>
    </row>
    <row r="8" spans="1:13" ht="12.75">
      <c r="A8" s="24">
        <v>4</v>
      </c>
      <c r="B8" s="25" t="s">
        <v>195</v>
      </c>
      <c r="C8" s="20" t="s">
        <v>48</v>
      </c>
      <c r="D8" s="20" t="s">
        <v>110</v>
      </c>
      <c r="E8" s="26" t="s">
        <v>64</v>
      </c>
      <c r="F8" s="28">
        <v>2.75</v>
      </c>
      <c r="G8" s="30">
        <v>2008</v>
      </c>
      <c r="I8" s="31">
        <f t="shared" si="0"/>
        <v>2.75</v>
      </c>
      <c r="J8" s="31">
        <f t="shared" si="0"/>
        <v>2.75</v>
      </c>
      <c r="K8" s="31">
        <f t="shared" si="0"/>
        <v>2.75</v>
      </c>
      <c r="L8" s="31">
        <f t="shared" si="0"/>
        <v>2.75</v>
      </c>
      <c r="M8" s="31">
        <f t="shared" si="0"/>
        <v>0</v>
      </c>
    </row>
    <row r="9" spans="1:13" ht="12.75">
      <c r="A9" s="24">
        <v>5</v>
      </c>
      <c r="B9" s="25" t="s">
        <v>377</v>
      </c>
      <c r="C9" s="20" t="s">
        <v>52</v>
      </c>
      <c r="D9" s="20" t="s">
        <v>66</v>
      </c>
      <c r="E9" s="26" t="s">
        <v>64</v>
      </c>
      <c r="F9" s="28">
        <v>1.6</v>
      </c>
      <c r="G9" s="32">
        <v>2008</v>
      </c>
      <c r="I9" s="31">
        <f t="shared" si="0"/>
        <v>1.6</v>
      </c>
      <c r="J9" s="31">
        <f t="shared" si="0"/>
        <v>1.6</v>
      </c>
      <c r="K9" s="31">
        <f t="shared" si="0"/>
        <v>1.6</v>
      </c>
      <c r="L9" s="31">
        <f t="shared" si="0"/>
        <v>1.6</v>
      </c>
      <c r="M9" s="31">
        <f t="shared" si="0"/>
        <v>0</v>
      </c>
    </row>
    <row r="10" spans="1:13" ht="12.75">
      <c r="A10" s="24">
        <v>6</v>
      </c>
      <c r="B10" s="25" t="s">
        <v>196</v>
      </c>
      <c r="C10" s="20" t="s">
        <v>49</v>
      </c>
      <c r="D10" s="20" t="s">
        <v>72</v>
      </c>
      <c r="E10" s="26" t="s">
        <v>64</v>
      </c>
      <c r="F10" s="28">
        <v>1.1</v>
      </c>
      <c r="G10" s="32">
        <v>2008</v>
      </c>
      <c r="I10" s="31">
        <f t="shared" si="0"/>
        <v>1.1</v>
      </c>
      <c r="J10" s="31">
        <f t="shared" si="0"/>
        <v>1.1</v>
      </c>
      <c r="K10" s="31">
        <f t="shared" si="0"/>
        <v>1.1</v>
      </c>
      <c r="L10" s="31">
        <f t="shared" si="0"/>
        <v>1.1</v>
      </c>
      <c r="M10" s="31">
        <f t="shared" si="0"/>
        <v>0</v>
      </c>
    </row>
    <row r="11" spans="1:13" ht="12.75">
      <c r="A11" s="24">
        <v>7</v>
      </c>
      <c r="B11" s="25" t="s">
        <v>523</v>
      </c>
      <c r="C11" s="20" t="s">
        <v>52</v>
      </c>
      <c r="D11" s="20" t="s">
        <v>66</v>
      </c>
      <c r="E11" s="26" t="s">
        <v>64</v>
      </c>
      <c r="F11" s="28">
        <v>4.8</v>
      </c>
      <c r="G11" s="32">
        <v>2007</v>
      </c>
      <c r="I11" s="31">
        <f t="shared" si="0"/>
        <v>4.8</v>
      </c>
      <c r="J11" s="31">
        <f t="shared" si="0"/>
        <v>4.8</v>
      </c>
      <c r="K11" s="31">
        <f t="shared" si="0"/>
        <v>4.8</v>
      </c>
      <c r="L11" s="31">
        <f t="shared" si="0"/>
        <v>0</v>
      </c>
      <c r="M11" s="31">
        <f t="shared" si="0"/>
        <v>0</v>
      </c>
    </row>
    <row r="12" spans="1:13" ht="12.75">
      <c r="A12" s="24">
        <v>8</v>
      </c>
      <c r="B12" s="19" t="s">
        <v>332</v>
      </c>
      <c r="C12" s="20" t="s">
        <v>51</v>
      </c>
      <c r="D12" s="20" t="s">
        <v>98</v>
      </c>
      <c r="E12" s="20" t="s">
        <v>64</v>
      </c>
      <c r="F12" s="33">
        <v>3</v>
      </c>
      <c r="G12" s="34">
        <v>2007</v>
      </c>
      <c r="I12" s="31">
        <f t="shared" si="0"/>
        <v>3</v>
      </c>
      <c r="J12" s="31">
        <f t="shared" si="0"/>
        <v>3</v>
      </c>
      <c r="K12" s="31">
        <f t="shared" si="0"/>
        <v>3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25" t="s">
        <v>188</v>
      </c>
      <c r="C13" s="20" t="s">
        <v>48</v>
      </c>
      <c r="D13" s="20" t="s">
        <v>110</v>
      </c>
      <c r="E13" s="26" t="s">
        <v>64</v>
      </c>
      <c r="F13" s="28">
        <v>1.5</v>
      </c>
      <c r="G13" s="32">
        <v>2007</v>
      </c>
      <c r="I13" s="31">
        <f t="shared" si="0"/>
        <v>1.5</v>
      </c>
      <c r="J13" s="31">
        <f t="shared" si="0"/>
        <v>1.5</v>
      </c>
      <c r="K13" s="31">
        <f t="shared" si="0"/>
        <v>1.5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25" t="s">
        <v>189</v>
      </c>
      <c r="C14" s="20" t="s">
        <v>52</v>
      </c>
      <c r="D14" s="20" t="s">
        <v>77</v>
      </c>
      <c r="E14" s="26" t="s">
        <v>64</v>
      </c>
      <c r="F14" s="28">
        <v>1</v>
      </c>
      <c r="G14" s="32">
        <v>2007</v>
      </c>
      <c r="I14" s="31">
        <f t="shared" si="0"/>
        <v>1</v>
      </c>
      <c r="J14" s="31">
        <f t="shared" si="0"/>
        <v>1</v>
      </c>
      <c r="K14" s="31">
        <f t="shared" si="0"/>
        <v>1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19" t="s">
        <v>545</v>
      </c>
      <c r="C15" s="20" t="s">
        <v>49</v>
      </c>
      <c r="D15" s="20" t="s">
        <v>95</v>
      </c>
      <c r="E15" s="20" t="s">
        <v>64</v>
      </c>
      <c r="F15" s="33">
        <v>5.7</v>
      </c>
      <c r="G15" s="34">
        <v>2006</v>
      </c>
      <c r="I15" s="31">
        <f aca="true" t="shared" si="1" ref="I15:M29">+IF($G15&gt;=I$3,$F15,0)</f>
        <v>5.7</v>
      </c>
      <c r="J15" s="31">
        <f t="shared" si="1"/>
        <v>5.7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25" t="s">
        <v>197</v>
      </c>
      <c r="C16" s="20" t="s">
        <v>48</v>
      </c>
      <c r="D16" s="20" t="s">
        <v>108</v>
      </c>
      <c r="E16" s="26" t="s">
        <v>64</v>
      </c>
      <c r="F16" s="28">
        <v>30.75</v>
      </c>
      <c r="G16" s="32">
        <v>2005</v>
      </c>
      <c r="I16" s="31">
        <f t="shared" si="1"/>
        <v>30.75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25" t="s">
        <v>504</v>
      </c>
      <c r="C17" s="20" t="s">
        <v>49</v>
      </c>
      <c r="D17" s="20" t="s">
        <v>93</v>
      </c>
      <c r="E17" s="26" t="s">
        <v>64</v>
      </c>
      <c r="F17" s="28">
        <v>22</v>
      </c>
      <c r="G17" s="32">
        <v>2005</v>
      </c>
      <c r="I17" s="31">
        <f t="shared" si="1"/>
        <v>22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191</v>
      </c>
      <c r="C18" s="20" t="s">
        <v>47</v>
      </c>
      <c r="D18" s="20" t="s">
        <v>118</v>
      </c>
      <c r="E18" s="26" t="s">
        <v>64</v>
      </c>
      <c r="F18" s="28">
        <v>13</v>
      </c>
      <c r="G18" s="32">
        <v>2005</v>
      </c>
      <c r="I18" s="31">
        <f t="shared" si="1"/>
        <v>13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25" t="s">
        <v>192</v>
      </c>
      <c r="C19" s="20" t="s">
        <v>49</v>
      </c>
      <c r="D19" s="20" t="s">
        <v>68</v>
      </c>
      <c r="E19" s="26" t="s">
        <v>64</v>
      </c>
      <c r="F19" s="28">
        <v>7.8</v>
      </c>
      <c r="G19" s="32">
        <v>2005</v>
      </c>
      <c r="I19" s="31">
        <f t="shared" si="1"/>
        <v>7.8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19" t="s">
        <v>212</v>
      </c>
      <c r="C20" s="20" t="s">
        <v>50</v>
      </c>
      <c r="D20" s="20" t="s">
        <v>169</v>
      </c>
      <c r="E20" s="20" t="s">
        <v>64</v>
      </c>
      <c r="F20" s="33">
        <v>4.1</v>
      </c>
      <c r="G20" s="34">
        <v>2005</v>
      </c>
      <c r="I20" s="31">
        <f t="shared" si="1"/>
        <v>4.1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25" t="s">
        <v>480</v>
      </c>
      <c r="C21" s="20" t="s">
        <v>53</v>
      </c>
      <c r="D21" s="20" t="s">
        <v>153</v>
      </c>
      <c r="E21" s="26" t="s">
        <v>64</v>
      </c>
      <c r="F21" s="28">
        <v>2.75</v>
      </c>
      <c r="G21" s="32">
        <v>2005</v>
      </c>
      <c r="I21" s="31">
        <f t="shared" si="1"/>
        <v>2.75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25" t="s">
        <v>193</v>
      </c>
      <c r="C22" s="20" t="s">
        <v>51</v>
      </c>
      <c r="D22" s="20" t="s">
        <v>68</v>
      </c>
      <c r="E22" s="26" t="s">
        <v>64</v>
      </c>
      <c r="F22" s="28">
        <v>2.55</v>
      </c>
      <c r="G22" s="32">
        <v>2005</v>
      </c>
      <c r="I22" s="31">
        <f t="shared" si="1"/>
        <v>2.55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25" t="s">
        <v>194</v>
      </c>
      <c r="C23" s="20" t="s">
        <v>52</v>
      </c>
      <c r="D23" s="20" t="s">
        <v>77</v>
      </c>
      <c r="E23" s="26" t="s">
        <v>64</v>
      </c>
      <c r="F23" s="28">
        <v>2.1</v>
      </c>
      <c r="G23" s="32">
        <v>2005</v>
      </c>
      <c r="I23" s="31">
        <f t="shared" si="1"/>
        <v>2.1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25" t="s">
        <v>694</v>
      </c>
      <c r="C24" s="20" t="s">
        <v>53</v>
      </c>
      <c r="D24" s="20" t="s">
        <v>169</v>
      </c>
      <c r="E24" s="26" t="s">
        <v>64</v>
      </c>
      <c r="F24" s="28">
        <v>1.25</v>
      </c>
      <c r="G24" s="32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19" t="s">
        <v>587</v>
      </c>
      <c r="C25" s="20" t="s">
        <v>48</v>
      </c>
      <c r="D25" s="20" t="s">
        <v>70</v>
      </c>
      <c r="E25" s="20" t="s">
        <v>64</v>
      </c>
      <c r="F25" s="33">
        <v>1.25</v>
      </c>
      <c r="G25" s="34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19" t="s">
        <v>596</v>
      </c>
      <c r="C26" s="20" t="s">
        <v>47</v>
      </c>
      <c r="D26" s="20" t="s">
        <v>118</v>
      </c>
      <c r="E26" s="20" t="s">
        <v>64</v>
      </c>
      <c r="F26" s="33">
        <v>1.25</v>
      </c>
      <c r="G26" s="34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19" t="s">
        <v>695</v>
      </c>
      <c r="C27" s="20" t="s">
        <v>48</v>
      </c>
      <c r="D27" s="20" t="s">
        <v>108</v>
      </c>
      <c r="E27" s="20" t="s">
        <v>64</v>
      </c>
      <c r="F27" s="33">
        <v>1.25</v>
      </c>
      <c r="G27" s="34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619</v>
      </c>
      <c r="C28" s="20" t="s">
        <v>52</v>
      </c>
      <c r="D28" s="20" t="s">
        <v>106</v>
      </c>
      <c r="E28" s="20" t="s">
        <v>64</v>
      </c>
      <c r="F28" s="33">
        <v>1.25</v>
      </c>
      <c r="G28" s="34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19" t="s">
        <v>635</v>
      </c>
      <c r="C29" s="20" t="s">
        <v>47</v>
      </c>
      <c r="D29" s="20" t="s">
        <v>98</v>
      </c>
      <c r="E29" s="20" t="s">
        <v>64</v>
      </c>
      <c r="F29" s="33">
        <v>1.25</v>
      </c>
      <c r="G29" s="34">
        <v>2005</v>
      </c>
      <c r="I29" s="31">
        <f t="shared" si="1"/>
        <v>1.25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9:13" ht="12.75">
      <c r="I31" s="36">
        <f>+SUM(I5:I29)</f>
        <v>121.64999999999998</v>
      </c>
      <c r="J31" s="36">
        <f>+SUM(J5:J29)</f>
        <v>29.099999999999998</v>
      </c>
      <c r="K31" s="36">
        <f>+SUM(K5:K29)</f>
        <v>23.4</v>
      </c>
      <c r="L31" s="36">
        <f>+SUM(L5:L29)</f>
        <v>13.1</v>
      </c>
      <c r="M31" s="36">
        <f>+SUM(M5:M29)</f>
        <v>3.4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25" t="s">
        <v>190</v>
      </c>
      <c r="C37" s="20" t="s">
        <v>49</v>
      </c>
      <c r="D37" s="20" t="s">
        <v>78</v>
      </c>
      <c r="E37" s="26">
        <v>2004</v>
      </c>
      <c r="F37" s="28">
        <v>15.8</v>
      </c>
      <c r="G37" s="32">
        <v>2005</v>
      </c>
      <c r="I37" s="31">
        <f>+CEILING(IF($I$35=E37,F37,IF($I$35&lt;=G37,F37*0.3,0)),0.05)</f>
        <v>4.75</v>
      </c>
      <c r="J37" s="31">
        <f>+CEILING(IF($J$35&lt;=G37,F37*0.3,0),0.05)</f>
        <v>0</v>
      </c>
      <c r="K37" s="31">
        <f>+CEILING(IF($K$35&lt;=G37,F37*0.3,0),0.05)</f>
        <v>0</v>
      </c>
      <c r="L37" s="31">
        <f>+CEILING(IF($L$35&lt;=G37,F37*0.3,0),0.05)</f>
        <v>0</v>
      </c>
      <c r="M37" s="31">
        <f>CEILING(IF($M$35&lt;=G37,F37*0.3,0),0.05)</f>
        <v>0</v>
      </c>
    </row>
    <row r="38" spans="1:13" ht="12.75">
      <c r="A38" s="24">
        <v>2</v>
      </c>
      <c r="B38" s="25" t="s">
        <v>101</v>
      </c>
      <c r="C38" s="20" t="s">
        <v>53</v>
      </c>
      <c r="D38" s="20" t="s">
        <v>91</v>
      </c>
      <c r="E38" s="26">
        <v>2004</v>
      </c>
      <c r="F38" s="28">
        <v>6.7</v>
      </c>
      <c r="G38" s="32">
        <v>2005</v>
      </c>
      <c r="I38" s="31">
        <f>+CEILING(IF($I$35=E38,F38,IF($I$35&lt;=G38,F38*0.3,0)),0.05)</f>
        <v>2.0500000000000003</v>
      </c>
      <c r="J38" s="31">
        <f>+CEILING(IF($J$35&lt;=G38,F38*0.3,0),0.05)</f>
        <v>0</v>
      </c>
      <c r="K38" s="31">
        <f>+CEILING(IF($K$35&lt;=G38,F38*0.3,0),0.05)</f>
        <v>0</v>
      </c>
      <c r="L38" s="31">
        <f>+CEILING(IF($L$35&lt;=G38,F38*0.3,0),0.05)</f>
        <v>0</v>
      </c>
      <c r="M38" s="31">
        <f>CEILING(IF($M$35&lt;=G38,F38*0.3,0),0.05)</f>
        <v>0</v>
      </c>
    </row>
    <row r="39" spans="1:13" ht="12.75">
      <c r="A39" s="24">
        <v>3</v>
      </c>
      <c r="B39" s="25" t="s">
        <v>515</v>
      </c>
      <c r="C39" s="20" t="s">
        <v>53</v>
      </c>
      <c r="D39" s="20" t="s">
        <v>156</v>
      </c>
      <c r="E39" s="26">
        <v>2005</v>
      </c>
      <c r="F39" s="28">
        <v>2.5</v>
      </c>
      <c r="G39" s="32">
        <v>2005</v>
      </c>
      <c r="I39" s="31">
        <f>+CEILING(IF($I$35=E39,F39,IF($I$35&lt;=G39,F39*0.3,0)),0.05)</f>
        <v>2.5</v>
      </c>
      <c r="J39" s="31">
        <f>+CEILING(IF($J$35&lt;=G39,F39*0.3,0),0.05)</f>
        <v>0</v>
      </c>
      <c r="K39" s="31">
        <f>+CEILING(IF($K$35&lt;=G39,F39*0.3,0),0.05)</f>
        <v>0</v>
      </c>
      <c r="L39" s="31">
        <f>+CEILING(IF($L$35&lt;=G39,F39*0.3,0),0.05)</f>
        <v>0</v>
      </c>
      <c r="M39" s="31">
        <f>CEILING(IF($M$35&lt;=G39,F39*0.3,0),0.05)</f>
        <v>0</v>
      </c>
    </row>
    <row r="40" spans="1:13" ht="12.75">
      <c r="A40" s="24">
        <v>4</v>
      </c>
      <c r="B40" s="19" t="s">
        <v>698</v>
      </c>
      <c r="C40" s="20" t="s">
        <v>50</v>
      </c>
      <c r="D40" s="20" t="s">
        <v>223</v>
      </c>
      <c r="E40" s="20">
        <v>2005</v>
      </c>
      <c r="F40" s="33">
        <v>1.25</v>
      </c>
      <c r="G40" s="34">
        <v>2005</v>
      </c>
      <c r="I40" s="31">
        <f>+CEILING(IF($I$35=E40,F40,IF($I$35&lt;=G40,F40*0.3,0)),0.05)</f>
        <v>1.25</v>
      </c>
      <c r="J40" s="31">
        <f>+CEILING(IF($J$35&lt;=G40,F40*0.3,0),0.05)</f>
        <v>0</v>
      </c>
      <c r="K40" s="31">
        <f>+CEILING(IF($K$35&lt;=G40,F40*0.3,0),0.05)</f>
        <v>0</v>
      </c>
      <c r="L40" s="31">
        <f>+CEILING(IF($L$35&lt;=G40,F40*0.3,0),0.05)</f>
        <v>0</v>
      </c>
      <c r="M40" s="31">
        <f>CEILING(IF($M$35&lt;=G40,F40*0.3,0),0.05)</f>
        <v>0</v>
      </c>
    </row>
    <row r="41" spans="1:13" ht="12.75">
      <c r="A41" s="24">
        <v>5</v>
      </c>
      <c r="D41" s="20"/>
      <c r="E41" s="20"/>
      <c r="G41" s="20"/>
      <c r="I41" s="31">
        <f>+CEILING(IF($I$35=E41,F41,IF($I$35&lt;=G41,F41*0.3,0)),0.05)</f>
        <v>0</v>
      </c>
      <c r="J41" s="31">
        <f>+CEILING(IF($J$35&lt;=G41,F41*0.3,0),0.05)</f>
        <v>0</v>
      </c>
      <c r="K41" s="31">
        <f>+CEILING(IF($K$35&lt;=G41,F41*0.3,0),0.05)</f>
        <v>0</v>
      </c>
      <c r="L41" s="31">
        <f>+CEILING(IF($L$35&lt;=G41,F41*0.3,0),0.05)</f>
        <v>0</v>
      </c>
      <c r="M41" s="31">
        <f>CEILING(IF($M$35&lt;=G41,F41*0.3,0),0.05)</f>
        <v>0</v>
      </c>
    </row>
    <row r="42" spans="9:13" ht="7.5" customHeight="1">
      <c r="I42" s="25"/>
      <c r="J42" s="25"/>
      <c r="K42" s="25"/>
      <c r="L42" s="25"/>
      <c r="M42" s="25"/>
    </row>
    <row r="43" spans="9:13" ht="12.75">
      <c r="I43" s="36">
        <f>+SUM(I37:I42)</f>
        <v>10.55</v>
      </c>
      <c r="J43" s="36">
        <f>+SUM(J37:J42)</f>
        <v>0</v>
      </c>
      <c r="K43" s="36">
        <f>+SUM(K37:K42)</f>
        <v>0</v>
      </c>
      <c r="L43" s="36">
        <f>+SUM(L37:L42)</f>
        <v>0</v>
      </c>
      <c r="M43" s="36">
        <f>+SUM(M37:M42)</f>
        <v>0</v>
      </c>
    </row>
    <row r="44" spans="9:13" ht="12.75">
      <c r="I44" s="37"/>
      <c r="J44" s="37"/>
      <c r="K44" s="37"/>
      <c r="L44" s="37"/>
      <c r="M44" s="37"/>
    </row>
    <row r="45" spans="1:13" ht="15.75">
      <c r="A45" s="50" t="s">
        <v>87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9:13" ht="7.5" customHeight="1">
      <c r="I46" s="37"/>
      <c r="J46" s="37"/>
      <c r="K46" s="37"/>
      <c r="L46" s="37"/>
      <c r="M46" s="37"/>
    </row>
    <row r="47" spans="1:13" ht="12.75">
      <c r="A47" s="24"/>
      <c r="B47" s="21" t="s">
        <v>88</v>
      </c>
      <c r="C47" s="22"/>
      <c r="D47" s="22"/>
      <c r="E47" s="22"/>
      <c r="F47" s="22" t="s">
        <v>89</v>
      </c>
      <c r="G47" s="22" t="s">
        <v>27</v>
      </c>
      <c r="I47" s="23">
        <f>+I$3</f>
        <v>2005</v>
      </c>
      <c r="J47" s="23">
        <f>+J$3</f>
        <v>2006</v>
      </c>
      <c r="K47" s="23">
        <f>+K$3</f>
        <v>2007</v>
      </c>
      <c r="L47" s="23">
        <f>+L$3</f>
        <v>2008</v>
      </c>
      <c r="M47" s="23">
        <f>+M$3</f>
        <v>2009</v>
      </c>
    </row>
    <row r="48" spans="1:13" ht="7.5" customHeight="1">
      <c r="A48" s="24"/>
      <c r="I48" s="38"/>
      <c r="J48" s="38"/>
      <c r="K48" s="38"/>
      <c r="L48" s="38"/>
      <c r="M48" s="38"/>
    </row>
    <row r="49" spans="1:13" ht="12.75">
      <c r="A49" s="24">
        <v>1</v>
      </c>
      <c r="B49" s="48"/>
      <c r="C49" s="48"/>
      <c r="D49" s="48"/>
      <c r="E49" s="48"/>
      <c r="I49" s="38"/>
      <c r="J49" s="38"/>
      <c r="K49" s="38"/>
      <c r="L49" s="38"/>
      <c r="M49" s="38"/>
    </row>
    <row r="50" spans="1:13" ht="12.75">
      <c r="A50" s="24">
        <v>2</v>
      </c>
      <c r="B50" s="48"/>
      <c r="C50" s="48"/>
      <c r="D50" s="48"/>
      <c r="E50" s="48"/>
      <c r="I50" s="38"/>
      <c r="J50" s="38"/>
      <c r="K50" s="38"/>
      <c r="L50" s="38"/>
      <c r="M50" s="38"/>
    </row>
    <row r="51" spans="1:13" ht="7.5" customHeight="1">
      <c r="A51" s="24"/>
      <c r="I51" s="38"/>
      <c r="J51" s="38"/>
      <c r="K51" s="38"/>
      <c r="L51" s="38"/>
      <c r="M51" s="38"/>
    </row>
    <row r="52" spans="1:13" ht="12.75">
      <c r="A52" s="24"/>
      <c r="I52" s="35">
        <f>+SUM(I49:I51)</f>
        <v>0</v>
      </c>
      <c r="J52" s="35">
        <f>+SUM(J49:J51)</f>
        <v>0</v>
      </c>
      <c r="K52" s="35">
        <f>+SUM(K49:K51)</f>
        <v>0</v>
      </c>
      <c r="L52" s="35">
        <f>+SUM(L49:L51)</f>
        <v>0</v>
      </c>
      <c r="M52" s="35">
        <f>+SUM(M49:M51)</f>
        <v>0</v>
      </c>
    </row>
  </sheetData>
  <sheetProtection/>
  <mergeCells count="5">
    <mergeCell ref="B49:E49"/>
    <mergeCell ref="B50:E50"/>
    <mergeCell ref="A1:M1"/>
    <mergeCell ref="A33:M33"/>
    <mergeCell ref="A45:M4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25" t="s">
        <v>419</v>
      </c>
      <c r="C5" s="20" t="s">
        <v>49</v>
      </c>
      <c r="D5" s="20" t="s">
        <v>70</v>
      </c>
      <c r="E5" s="26" t="s">
        <v>64</v>
      </c>
      <c r="F5" s="28">
        <v>5.45</v>
      </c>
      <c r="G5" s="32">
        <v>2009</v>
      </c>
      <c r="I5" s="31">
        <f aca="true" t="shared" si="0" ref="I5:M14">+IF($G5&gt;=I$3,$F5,0)</f>
        <v>5.45</v>
      </c>
      <c r="J5" s="31">
        <f t="shared" si="0"/>
        <v>5.45</v>
      </c>
      <c r="K5" s="31">
        <f t="shared" si="0"/>
        <v>5.45</v>
      </c>
      <c r="L5" s="31">
        <f t="shared" si="0"/>
        <v>5.45</v>
      </c>
      <c r="M5" s="31">
        <f t="shared" si="0"/>
        <v>5.45</v>
      </c>
    </row>
    <row r="6" spans="1:13" ht="12.75">
      <c r="A6" s="24">
        <v>2</v>
      </c>
      <c r="B6" s="25" t="s">
        <v>472</v>
      </c>
      <c r="C6" s="20" t="s">
        <v>52</v>
      </c>
      <c r="D6" s="20" t="s">
        <v>72</v>
      </c>
      <c r="E6" s="26" t="s">
        <v>64</v>
      </c>
      <c r="F6" s="28">
        <v>4</v>
      </c>
      <c r="G6" s="32">
        <v>2009</v>
      </c>
      <c r="I6" s="31">
        <f t="shared" si="0"/>
        <v>4</v>
      </c>
      <c r="J6" s="31">
        <f t="shared" si="0"/>
        <v>4</v>
      </c>
      <c r="K6" s="31">
        <f t="shared" si="0"/>
        <v>4</v>
      </c>
      <c r="L6" s="31">
        <f t="shared" si="0"/>
        <v>4</v>
      </c>
      <c r="M6" s="31">
        <f t="shared" si="0"/>
        <v>4</v>
      </c>
    </row>
    <row r="7" spans="1:13" ht="12.75">
      <c r="A7" s="24">
        <v>3</v>
      </c>
      <c r="B7" s="25" t="s">
        <v>447</v>
      </c>
      <c r="C7" s="20" t="s">
        <v>49</v>
      </c>
      <c r="D7" s="20" t="s">
        <v>128</v>
      </c>
      <c r="E7" s="26" t="s">
        <v>64</v>
      </c>
      <c r="F7" s="28">
        <v>1.25</v>
      </c>
      <c r="G7" s="32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1.25</v>
      </c>
    </row>
    <row r="8" spans="1:13" ht="12.75">
      <c r="A8" s="24">
        <v>4</v>
      </c>
      <c r="B8" s="25" t="s">
        <v>348</v>
      </c>
      <c r="C8" s="20" t="s">
        <v>52</v>
      </c>
      <c r="D8" s="20" t="s">
        <v>169</v>
      </c>
      <c r="E8" s="26" t="s">
        <v>64</v>
      </c>
      <c r="F8" s="28">
        <v>3.65</v>
      </c>
      <c r="G8" s="32">
        <v>2008</v>
      </c>
      <c r="I8" s="31">
        <f t="shared" si="0"/>
        <v>3.65</v>
      </c>
      <c r="J8" s="31">
        <f t="shared" si="0"/>
        <v>3.65</v>
      </c>
      <c r="K8" s="31">
        <f t="shared" si="0"/>
        <v>3.65</v>
      </c>
      <c r="L8" s="31">
        <f t="shared" si="0"/>
        <v>3.65</v>
      </c>
      <c r="M8" s="31">
        <f t="shared" si="0"/>
        <v>0</v>
      </c>
    </row>
    <row r="9" spans="1:13" ht="12.75">
      <c r="A9" s="24">
        <v>5</v>
      </c>
      <c r="B9" s="25" t="s">
        <v>210</v>
      </c>
      <c r="C9" s="20" t="s">
        <v>47</v>
      </c>
      <c r="D9" s="20" t="s">
        <v>106</v>
      </c>
      <c r="E9" s="26" t="s">
        <v>64</v>
      </c>
      <c r="F9" s="28">
        <v>3.05</v>
      </c>
      <c r="G9" s="32">
        <v>2008</v>
      </c>
      <c r="I9" s="31">
        <f t="shared" si="0"/>
        <v>3.05</v>
      </c>
      <c r="J9" s="31">
        <f t="shared" si="0"/>
        <v>3.05</v>
      </c>
      <c r="K9" s="31">
        <f t="shared" si="0"/>
        <v>3.05</v>
      </c>
      <c r="L9" s="31">
        <f t="shared" si="0"/>
        <v>3.05</v>
      </c>
      <c r="M9" s="31">
        <f t="shared" si="0"/>
        <v>0</v>
      </c>
    </row>
    <row r="10" spans="1:13" ht="12.75">
      <c r="A10" s="24">
        <v>6</v>
      </c>
      <c r="B10" s="25" t="s">
        <v>211</v>
      </c>
      <c r="C10" s="20" t="s">
        <v>53</v>
      </c>
      <c r="D10" s="20" t="s">
        <v>113</v>
      </c>
      <c r="E10" s="26" t="s">
        <v>64</v>
      </c>
      <c r="F10" s="28">
        <v>1.1</v>
      </c>
      <c r="G10" s="32">
        <v>2008</v>
      </c>
      <c r="I10" s="31">
        <f t="shared" si="0"/>
        <v>1.1</v>
      </c>
      <c r="J10" s="31">
        <f t="shared" si="0"/>
        <v>1.1</v>
      </c>
      <c r="K10" s="31">
        <f t="shared" si="0"/>
        <v>1.1</v>
      </c>
      <c r="L10" s="31">
        <f t="shared" si="0"/>
        <v>1.1</v>
      </c>
      <c r="M10" s="31">
        <f t="shared" si="0"/>
        <v>0</v>
      </c>
    </row>
    <row r="11" spans="1:13" ht="12.75">
      <c r="A11" s="24">
        <v>7</v>
      </c>
      <c r="B11" s="25" t="s">
        <v>198</v>
      </c>
      <c r="C11" s="20" t="s">
        <v>48</v>
      </c>
      <c r="D11" s="20" t="s">
        <v>70</v>
      </c>
      <c r="E11" s="26" t="s">
        <v>64</v>
      </c>
      <c r="F11" s="28">
        <v>19</v>
      </c>
      <c r="G11" s="30">
        <v>2007</v>
      </c>
      <c r="I11" s="31">
        <f t="shared" si="0"/>
        <v>19</v>
      </c>
      <c r="J11" s="31">
        <f t="shared" si="0"/>
        <v>19</v>
      </c>
      <c r="K11" s="31">
        <f t="shared" si="0"/>
        <v>19</v>
      </c>
      <c r="L11" s="31">
        <f t="shared" si="0"/>
        <v>0</v>
      </c>
      <c r="M11" s="31">
        <f t="shared" si="0"/>
        <v>0</v>
      </c>
    </row>
    <row r="12" spans="1:13" ht="12.75">
      <c r="A12" s="24">
        <v>8</v>
      </c>
      <c r="B12" s="25" t="s">
        <v>200</v>
      </c>
      <c r="C12" s="20" t="s">
        <v>53</v>
      </c>
      <c r="D12" s="20" t="s">
        <v>93</v>
      </c>
      <c r="E12" s="26" t="s">
        <v>64</v>
      </c>
      <c r="F12" s="28">
        <v>5.5</v>
      </c>
      <c r="G12" s="32">
        <v>2007</v>
      </c>
      <c r="I12" s="31">
        <f t="shared" si="0"/>
        <v>5.5</v>
      </c>
      <c r="J12" s="31">
        <f t="shared" si="0"/>
        <v>5.5</v>
      </c>
      <c r="K12" s="31">
        <f t="shared" si="0"/>
        <v>5.5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19" t="s">
        <v>202</v>
      </c>
      <c r="C13" s="20" t="s">
        <v>52</v>
      </c>
      <c r="D13" s="20" t="s">
        <v>108</v>
      </c>
      <c r="E13" s="20" t="s">
        <v>64</v>
      </c>
      <c r="F13" s="33">
        <v>3.65</v>
      </c>
      <c r="G13" s="34">
        <v>2007</v>
      </c>
      <c r="I13" s="31">
        <f t="shared" si="0"/>
        <v>3.65</v>
      </c>
      <c r="J13" s="31">
        <f t="shared" si="0"/>
        <v>3.65</v>
      </c>
      <c r="K13" s="31">
        <f t="shared" si="0"/>
        <v>3.65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25" t="s">
        <v>203</v>
      </c>
      <c r="C14" s="20" t="s">
        <v>53</v>
      </c>
      <c r="D14" s="20" t="s">
        <v>95</v>
      </c>
      <c r="E14" s="26" t="s">
        <v>64</v>
      </c>
      <c r="F14" s="28">
        <v>2.45</v>
      </c>
      <c r="G14" s="32">
        <v>2007</v>
      </c>
      <c r="I14" s="31">
        <f t="shared" si="0"/>
        <v>2.45</v>
      </c>
      <c r="J14" s="31">
        <f t="shared" si="0"/>
        <v>2.45</v>
      </c>
      <c r="K14" s="31">
        <f t="shared" si="0"/>
        <v>2.45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25" t="s">
        <v>204</v>
      </c>
      <c r="C15" s="20" t="s">
        <v>49</v>
      </c>
      <c r="D15" s="20" t="s">
        <v>128</v>
      </c>
      <c r="E15" s="26" t="s">
        <v>64</v>
      </c>
      <c r="F15" s="28">
        <v>2.3</v>
      </c>
      <c r="G15" s="32">
        <v>2007</v>
      </c>
      <c r="I15" s="31">
        <f aca="true" t="shared" si="1" ref="I15:M29">+IF($G15&gt;=I$3,$F15,0)</f>
        <v>2.3</v>
      </c>
      <c r="J15" s="31">
        <f t="shared" si="1"/>
        <v>2.3</v>
      </c>
      <c r="K15" s="31">
        <f t="shared" si="1"/>
        <v>2.3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25" t="s">
        <v>205</v>
      </c>
      <c r="C16" s="20" t="s">
        <v>51</v>
      </c>
      <c r="D16" s="20" t="s">
        <v>146</v>
      </c>
      <c r="E16" s="26" t="s">
        <v>64</v>
      </c>
      <c r="F16" s="28">
        <v>2.05</v>
      </c>
      <c r="G16" s="32">
        <v>2007</v>
      </c>
      <c r="I16" s="31">
        <f t="shared" si="1"/>
        <v>2.05</v>
      </c>
      <c r="J16" s="31">
        <f t="shared" si="1"/>
        <v>2.05</v>
      </c>
      <c r="K16" s="31">
        <f t="shared" si="1"/>
        <v>2.05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19" t="s">
        <v>206</v>
      </c>
      <c r="C17" s="20" t="s">
        <v>49</v>
      </c>
      <c r="D17" s="20" t="s">
        <v>78</v>
      </c>
      <c r="E17" s="20" t="s">
        <v>64</v>
      </c>
      <c r="F17" s="33">
        <v>1.95</v>
      </c>
      <c r="G17" s="34">
        <v>2007</v>
      </c>
      <c r="I17" s="31">
        <f t="shared" si="1"/>
        <v>1.95</v>
      </c>
      <c r="J17" s="31">
        <f t="shared" si="1"/>
        <v>1.95</v>
      </c>
      <c r="K17" s="31">
        <f t="shared" si="1"/>
        <v>1.95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207</v>
      </c>
      <c r="C18" s="20" t="s">
        <v>52</v>
      </c>
      <c r="D18" s="20" t="s">
        <v>93</v>
      </c>
      <c r="E18" s="26" t="s">
        <v>64</v>
      </c>
      <c r="F18" s="28">
        <v>1</v>
      </c>
      <c r="G18" s="32">
        <v>2007</v>
      </c>
      <c r="I18" s="31">
        <f t="shared" si="1"/>
        <v>1</v>
      </c>
      <c r="J18" s="31">
        <f t="shared" si="1"/>
        <v>1</v>
      </c>
      <c r="K18" s="31">
        <f t="shared" si="1"/>
        <v>1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19" t="s">
        <v>521</v>
      </c>
      <c r="C19" s="20" t="s">
        <v>48</v>
      </c>
      <c r="D19" s="20" t="s">
        <v>72</v>
      </c>
      <c r="E19" s="26" t="s">
        <v>64</v>
      </c>
      <c r="F19" s="33">
        <v>8.15</v>
      </c>
      <c r="G19" s="34">
        <v>2006</v>
      </c>
      <c r="I19" s="31">
        <f t="shared" si="1"/>
        <v>8.15</v>
      </c>
      <c r="J19" s="31">
        <f t="shared" si="1"/>
        <v>8.15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94</v>
      </c>
      <c r="C20" s="20" t="s">
        <v>47</v>
      </c>
      <c r="D20" s="20" t="s">
        <v>95</v>
      </c>
      <c r="E20" s="26" t="s">
        <v>64</v>
      </c>
      <c r="F20" s="28">
        <v>8.05</v>
      </c>
      <c r="G20" s="32">
        <v>2006</v>
      </c>
      <c r="I20" s="31">
        <f t="shared" si="1"/>
        <v>8.05</v>
      </c>
      <c r="J20" s="31">
        <f t="shared" si="1"/>
        <v>8.05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19" t="s">
        <v>412</v>
      </c>
      <c r="C21" s="20" t="s">
        <v>48</v>
      </c>
      <c r="D21" s="20" t="s">
        <v>153</v>
      </c>
      <c r="E21" s="20" t="s">
        <v>402</v>
      </c>
      <c r="F21" s="33">
        <v>35.3</v>
      </c>
      <c r="G21" s="34">
        <v>2005</v>
      </c>
      <c r="I21" s="31">
        <f t="shared" si="1"/>
        <v>35.3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25" t="s">
        <v>483</v>
      </c>
      <c r="C22" s="20" t="s">
        <v>49</v>
      </c>
      <c r="D22" s="20" t="s">
        <v>110</v>
      </c>
      <c r="E22" s="26" t="s">
        <v>64</v>
      </c>
      <c r="F22" s="28">
        <v>12.15</v>
      </c>
      <c r="G22" s="32">
        <v>2005</v>
      </c>
      <c r="I22" s="31">
        <f t="shared" si="1"/>
        <v>12.15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25" t="s">
        <v>484</v>
      </c>
      <c r="C23" s="20" t="s">
        <v>52</v>
      </c>
      <c r="D23" s="20" t="s">
        <v>93</v>
      </c>
      <c r="E23" s="26" t="s">
        <v>64</v>
      </c>
      <c r="F23" s="28">
        <v>4.4</v>
      </c>
      <c r="G23" s="32">
        <v>2005</v>
      </c>
      <c r="I23" s="31">
        <f t="shared" si="1"/>
        <v>4.4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25" t="s">
        <v>349</v>
      </c>
      <c r="C24" s="20" t="s">
        <v>49</v>
      </c>
      <c r="D24" s="20" t="s">
        <v>91</v>
      </c>
      <c r="E24" s="26" t="s">
        <v>64</v>
      </c>
      <c r="F24" s="28">
        <v>3.25</v>
      </c>
      <c r="G24" s="32">
        <v>2005</v>
      </c>
      <c r="I24" s="31">
        <f t="shared" si="1"/>
        <v>3.25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19" t="s">
        <v>705</v>
      </c>
      <c r="C25" s="20" t="s">
        <v>50</v>
      </c>
      <c r="D25" s="20" t="s">
        <v>84</v>
      </c>
      <c r="E25" s="20" t="s">
        <v>64</v>
      </c>
      <c r="F25" s="33">
        <v>1.25</v>
      </c>
      <c r="G25" s="34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19" t="s">
        <v>646</v>
      </c>
      <c r="C26" s="20" t="s">
        <v>52</v>
      </c>
      <c r="D26" s="20" t="s">
        <v>110</v>
      </c>
      <c r="E26" s="26" t="s">
        <v>64</v>
      </c>
      <c r="F26" s="33">
        <v>1.25</v>
      </c>
      <c r="G26" s="34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25" t="s">
        <v>662</v>
      </c>
      <c r="C27" s="20" t="s">
        <v>52</v>
      </c>
      <c r="D27" s="20" t="s">
        <v>99</v>
      </c>
      <c r="E27" s="26" t="s">
        <v>64</v>
      </c>
      <c r="F27" s="28">
        <v>1.25</v>
      </c>
      <c r="G27" s="32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645</v>
      </c>
      <c r="C28" s="20" t="s">
        <v>50</v>
      </c>
      <c r="D28" s="20" t="s">
        <v>153</v>
      </c>
      <c r="E28" s="26" t="s">
        <v>64</v>
      </c>
      <c r="F28" s="33">
        <v>1.25</v>
      </c>
      <c r="G28" s="34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19" t="s">
        <v>677</v>
      </c>
      <c r="C29" s="20" t="s">
        <v>47</v>
      </c>
      <c r="D29" s="20" t="s">
        <v>106</v>
      </c>
      <c r="E29" s="20" t="s">
        <v>64</v>
      </c>
      <c r="F29" s="33">
        <v>1.25</v>
      </c>
      <c r="G29" s="34">
        <v>2005</v>
      </c>
      <c r="I29" s="31">
        <f t="shared" si="1"/>
        <v>1.25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9:13" ht="12.75">
      <c r="I31" s="36">
        <f>+SUM(I5:I29)</f>
        <v>133.95</v>
      </c>
      <c r="J31" s="36">
        <f>+SUM(J5:J29)</f>
        <v>72.6</v>
      </c>
      <c r="K31" s="36">
        <f>+SUM(K5:K29)</f>
        <v>56.4</v>
      </c>
      <c r="L31" s="36">
        <f>+SUM(L5:L29)</f>
        <v>18.5</v>
      </c>
      <c r="M31" s="36">
        <f>+SUM(M5:M29)</f>
        <v>10.7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19" t="s">
        <v>199</v>
      </c>
      <c r="C37" s="20" t="s">
        <v>47</v>
      </c>
      <c r="D37" s="20" t="s">
        <v>63</v>
      </c>
      <c r="E37" s="20">
        <v>2005</v>
      </c>
      <c r="F37" s="33">
        <v>5.65</v>
      </c>
      <c r="G37" s="34">
        <v>2007</v>
      </c>
      <c r="I37" s="31">
        <f aca="true" t="shared" si="2" ref="I37:I44">+CEILING(IF($I$35=E37,F37,IF($I$35&lt;=G37,F37*0.3,0)),0.05)</f>
        <v>5.65</v>
      </c>
      <c r="J37" s="31">
        <f aca="true" t="shared" si="3" ref="J37:J44">+CEILING(IF($J$35&lt;=G37,F37*0.3,0),0.05)</f>
        <v>1.7000000000000002</v>
      </c>
      <c r="K37" s="31">
        <f aca="true" t="shared" si="4" ref="K37:K44">+CEILING(IF($K$35&lt;=G37,F37*0.3,0),0.05)</f>
        <v>1.7000000000000002</v>
      </c>
      <c r="L37" s="31">
        <f aca="true" t="shared" si="5" ref="L37:L44">+CEILING(IF($L$35&lt;=G37,F37*0.3,0),0.05)</f>
        <v>0</v>
      </c>
      <c r="M37" s="31">
        <f aca="true" t="shared" si="6" ref="M37:M44">CEILING(IF($M$35&lt;=G37,F37*0.3,0),0.05)</f>
        <v>0</v>
      </c>
    </row>
    <row r="38" spans="1:13" ht="12.75">
      <c r="A38" s="24">
        <v>2</v>
      </c>
      <c r="B38" s="25" t="s">
        <v>212</v>
      </c>
      <c r="C38" s="20" t="s">
        <v>50</v>
      </c>
      <c r="D38" s="20" t="s">
        <v>99</v>
      </c>
      <c r="E38" s="26">
        <v>2003</v>
      </c>
      <c r="F38" s="28">
        <v>4.15</v>
      </c>
      <c r="G38" s="32">
        <v>2007</v>
      </c>
      <c r="I38" s="31">
        <f t="shared" si="2"/>
        <v>1.25</v>
      </c>
      <c r="J38" s="31">
        <f t="shared" si="3"/>
        <v>1.25</v>
      </c>
      <c r="K38" s="31">
        <f t="shared" si="4"/>
        <v>1.25</v>
      </c>
      <c r="L38" s="31">
        <f t="shared" si="5"/>
        <v>0</v>
      </c>
      <c r="M38" s="31">
        <f t="shared" si="6"/>
        <v>0</v>
      </c>
    </row>
    <row r="39" spans="1:13" ht="12.75">
      <c r="A39" s="24">
        <v>3</v>
      </c>
      <c r="B39" s="19" t="s">
        <v>201</v>
      </c>
      <c r="C39" s="20" t="s">
        <v>48</v>
      </c>
      <c r="D39" s="20" t="s">
        <v>77</v>
      </c>
      <c r="E39" s="20">
        <v>2004</v>
      </c>
      <c r="F39" s="33">
        <v>4.05</v>
      </c>
      <c r="G39" s="34">
        <v>2007</v>
      </c>
      <c r="I39" s="31">
        <f t="shared" si="2"/>
        <v>1.25</v>
      </c>
      <c r="J39" s="31">
        <f t="shared" si="3"/>
        <v>1.25</v>
      </c>
      <c r="K39" s="31">
        <f t="shared" si="4"/>
        <v>1.25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B40" s="19" t="s">
        <v>490</v>
      </c>
      <c r="C40" s="20" t="s">
        <v>50</v>
      </c>
      <c r="D40" s="20" t="s">
        <v>156</v>
      </c>
      <c r="E40" s="26">
        <v>2005</v>
      </c>
      <c r="F40" s="33">
        <v>4.75</v>
      </c>
      <c r="G40" s="34">
        <v>2005</v>
      </c>
      <c r="I40" s="31">
        <f t="shared" si="2"/>
        <v>4.75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B41" s="25" t="s">
        <v>208</v>
      </c>
      <c r="C41" s="20" t="s">
        <v>52</v>
      </c>
      <c r="D41" s="20" t="s">
        <v>153</v>
      </c>
      <c r="E41" s="26">
        <v>2004</v>
      </c>
      <c r="F41" s="28">
        <v>2.55</v>
      </c>
      <c r="G41" s="32">
        <v>2005</v>
      </c>
      <c r="I41" s="31">
        <f t="shared" si="2"/>
        <v>0.8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25" t="s">
        <v>209</v>
      </c>
      <c r="C42" s="20" t="s">
        <v>53</v>
      </c>
      <c r="D42" s="20" t="s">
        <v>118</v>
      </c>
      <c r="E42" s="26">
        <v>2005</v>
      </c>
      <c r="F42" s="28">
        <v>1.6</v>
      </c>
      <c r="G42" s="32">
        <v>2005</v>
      </c>
      <c r="I42" s="31">
        <f t="shared" si="2"/>
        <v>1.6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B43" s="19" t="s">
        <v>598</v>
      </c>
      <c r="C43" s="20" t="s">
        <v>50</v>
      </c>
      <c r="D43" s="20" t="s">
        <v>98</v>
      </c>
      <c r="E43" s="26">
        <v>2005</v>
      </c>
      <c r="F43" s="33">
        <v>1.25</v>
      </c>
      <c r="G43" s="34">
        <v>2005</v>
      </c>
      <c r="I43" s="31">
        <f t="shared" si="2"/>
        <v>1.25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B44" s="19" t="s">
        <v>624</v>
      </c>
      <c r="C44" s="20" t="s">
        <v>50</v>
      </c>
      <c r="D44" s="20" t="s">
        <v>150</v>
      </c>
      <c r="E44" s="20">
        <v>2005</v>
      </c>
      <c r="F44" s="33">
        <v>1.25</v>
      </c>
      <c r="G44" s="34">
        <v>2005</v>
      </c>
      <c r="I44" s="31">
        <f t="shared" si="2"/>
        <v>1.25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9:13" ht="7.5" customHeight="1">
      <c r="I45" s="25"/>
      <c r="J45" s="25"/>
      <c r="K45" s="25"/>
      <c r="L45" s="25"/>
      <c r="M45" s="25"/>
    </row>
    <row r="46" spans="9:13" ht="12.75">
      <c r="I46" s="36">
        <f>+SUM(I37:I45)</f>
        <v>17.8</v>
      </c>
      <c r="J46" s="36">
        <f>+SUM(J37:J45)</f>
        <v>4.2</v>
      </c>
      <c r="K46" s="36">
        <f>+SUM(K37:K45)</f>
        <v>4.2</v>
      </c>
      <c r="L46" s="36">
        <f>+SUM(L37:L45)</f>
        <v>0</v>
      </c>
      <c r="M46" s="36">
        <f>+SUM(M37:M45)</f>
        <v>0</v>
      </c>
    </row>
    <row r="47" spans="9:13" ht="12.75">
      <c r="I47" s="37"/>
      <c r="J47" s="37"/>
      <c r="K47" s="37"/>
      <c r="L47" s="37"/>
      <c r="M47" s="37"/>
    </row>
    <row r="48" spans="1:13" ht="15.75">
      <c r="A48" s="50" t="s">
        <v>87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9:13" ht="7.5" customHeight="1">
      <c r="I49" s="37"/>
      <c r="J49" s="37"/>
      <c r="K49" s="37"/>
      <c r="L49" s="37"/>
      <c r="M49" s="37"/>
    </row>
    <row r="50" spans="1:13" ht="12.75">
      <c r="A50" s="24"/>
      <c r="B50" s="21" t="s">
        <v>88</v>
      </c>
      <c r="C50" s="22"/>
      <c r="D50" s="22"/>
      <c r="E50" s="22"/>
      <c r="F50" s="22" t="s">
        <v>89</v>
      </c>
      <c r="G50" s="22" t="s">
        <v>27</v>
      </c>
      <c r="I50" s="23">
        <f>+I$3</f>
        <v>2005</v>
      </c>
      <c r="J50" s="23">
        <f>+J$3</f>
        <v>2006</v>
      </c>
      <c r="K50" s="23">
        <f>+K$3</f>
        <v>2007</v>
      </c>
      <c r="L50" s="23">
        <f>+L$3</f>
        <v>2008</v>
      </c>
      <c r="M50" s="23">
        <f>+M$3</f>
        <v>2009</v>
      </c>
    </row>
    <row r="51" spans="1:13" ht="7.5" customHeight="1">
      <c r="A51" s="24"/>
      <c r="I51" s="38"/>
      <c r="J51" s="38"/>
      <c r="K51" s="38"/>
      <c r="L51" s="38"/>
      <c r="M51" s="38"/>
    </row>
    <row r="52" spans="1:13" ht="12.75">
      <c r="A52" s="24">
        <v>1</v>
      </c>
      <c r="B52" s="48"/>
      <c r="C52" s="48"/>
      <c r="D52" s="48"/>
      <c r="E52" s="48"/>
      <c r="I52" s="38"/>
      <c r="J52" s="38"/>
      <c r="K52" s="38"/>
      <c r="L52" s="38"/>
      <c r="M52" s="38"/>
    </row>
    <row r="53" spans="1:13" ht="12.75">
      <c r="A53" s="24">
        <v>2</v>
      </c>
      <c r="B53" s="48"/>
      <c r="C53" s="48"/>
      <c r="D53" s="48"/>
      <c r="E53" s="48"/>
      <c r="I53" s="38"/>
      <c r="J53" s="38"/>
      <c r="K53" s="38"/>
      <c r="L53" s="38"/>
      <c r="M53" s="38"/>
    </row>
    <row r="54" spans="1:13" ht="7.5" customHeight="1">
      <c r="A54" s="24"/>
      <c r="I54" s="38"/>
      <c r="J54" s="38"/>
      <c r="K54" s="38"/>
      <c r="L54" s="38"/>
      <c r="M54" s="38"/>
    </row>
    <row r="55" spans="1:13" ht="12.75">
      <c r="A55" s="24"/>
      <c r="I55" s="35">
        <f>+SUM(I52:I54)</f>
        <v>0</v>
      </c>
      <c r="J55" s="35">
        <f>+SUM(J52:J54)</f>
        <v>0</v>
      </c>
      <c r="K55" s="35">
        <f>+SUM(K52:K54)</f>
        <v>0</v>
      </c>
      <c r="L55" s="35">
        <f>+SUM(L52:L54)</f>
        <v>0</v>
      </c>
      <c r="M55" s="35">
        <f>+SUM(M52:M54)</f>
        <v>0</v>
      </c>
    </row>
  </sheetData>
  <sheetProtection/>
  <mergeCells count="5">
    <mergeCell ref="B52:E52"/>
    <mergeCell ref="B53:E53"/>
    <mergeCell ref="A1:M1"/>
    <mergeCell ref="A33:M33"/>
    <mergeCell ref="A48:M4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25" t="s">
        <v>425</v>
      </c>
      <c r="C5" s="20" t="s">
        <v>48</v>
      </c>
      <c r="D5" s="20" t="s">
        <v>72</v>
      </c>
      <c r="E5" s="26" t="s">
        <v>64</v>
      </c>
      <c r="F5" s="28">
        <v>3.65</v>
      </c>
      <c r="G5" s="32">
        <v>2009</v>
      </c>
      <c r="I5" s="31">
        <f aca="true" t="shared" si="0" ref="I5:M14">+IF($G5&gt;=I$3,$F5,0)</f>
        <v>3.65</v>
      </c>
      <c r="J5" s="31">
        <f t="shared" si="0"/>
        <v>3.65</v>
      </c>
      <c r="K5" s="31">
        <f t="shared" si="0"/>
        <v>3.65</v>
      </c>
      <c r="L5" s="31">
        <f t="shared" si="0"/>
        <v>3.65</v>
      </c>
      <c r="M5" s="31">
        <f t="shared" si="0"/>
        <v>3.65</v>
      </c>
    </row>
    <row r="6" spans="1:13" ht="12.75">
      <c r="A6" s="24">
        <v>2</v>
      </c>
      <c r="B6" s="19" t="s">
        <v>568</v>
      </c>
      <c r="C6" s="20" t="s">
        <v>48</v>
      </c>
      <c r="D6" s="20" t="s">
        <v>76</v>
      </c>
      <c r="E6" s="20" t="s">
        <v>64</v>
      </c>
      <c r="F6" s="33">
        <v>1.25</v>
      </c>
      <c r="G6" s="34">
        <v>2009</v>
      </c>
      <c r="I6" s="31">
        <f t="shared" si="0"/>
        <v>1.25</v>
      </c>
      <c r="J6" s="31">
        <f t="shared" si="0"/>
        <v>1.25</v>
      </c>
      <c r="K6" s="31">
        <f t="shared" si="0"/>
        <v>1.25</v>
      </c>
      <c r="L6" s="31">
        <f t="shared" si="0"/>
        <v>1.25</v>
      </c>
      <c r="M6" s="31">
        <f t="shared" si="0"/>
        <v>1.25</v>
      </c>
    </row>
    <row r="7" spans="1:13" ht="12.75">
      <c r="A7" s="24">
        <v>3</v>
      </c>
      <c r="B7" s="19" t="s">
        <v>569</v>
      </c>
      <c r="C7" s="20" t="s">
        <v>49</v>
      </c>
      <c r="D7" s="20" t="s">
        <v>93</v>
      </c>
      <c r="E7" s="20" t="s">
        <v>64</v>
      </c>
      <c r="F7" s="33">
        <v>1.25</v>
      </c>
      <c r="G7" s="34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1.25</v>
      </c>
    </row>
    <row r="8" spans="1:13" ht="12.75">
      <c r="A8" s="24">
        <v>4</v>
      </c>
      <c r="B8" s="19" t="s">
        <v>567</v>
      </c>
      <c r="C8" s="20" t="s">
        <v>52</v>
      </c>
      <c r="D8" s="20" t="s">
        <v>153</v>
      </c>
      <c r="E8" s="20" t="s">
        <v>64</v>
      </c>
      <c r="F8" s="33">
        <v>3.5</v>
      </c>
      <c r="G8" s="34">
        <v>2007</v>
      </c>
      <c r="I8" s="31">
        <f t="shared" si="0"/>
        <v>3.5</v>
      </c>
      <c r="J8" s="31">
        <f t="shared" si="0"/>
        <v>3.5</v>
      </c>
      <c r="K8" s="31">
        <f t="shared" si="0"/>
        <v>3.5</v>
      </c>
      <c r="L8" s="31">
        <f t="shared" si="0"/>
        <v>0</v>
      </c>
      <c r="M8" s="31">
        <f t="shared" si="0"/>
        <v>0</v>
      </c>
    </row>
    <row r="9" spans="1:13" ht="12.75">
      <c r="A9" s="24">
        <v>5</v>
      </c>
      <c r="B9" s="25" t="s">
        <v>213</v>
      </c>
      <c r="C9" s="20" t="s">
        <v>50</v>
      </c>
      <c r="D9" s="20" t="s">
        <v>68</v>
      </c>
      <c r="E9" s="26" t="s">
        <v>64</v>
      </c>
      <c r="F9" s="28">
        <v>1</v>
      </c>
      <c r="G9" s="32">
        <v>2007</v>
      </c>
      <c r="I9" s="31">
        <f t="shared" si="0"/>
        <v>1</v>
      </c>
      <c r="J9" s="31">
        <f t="shared" si="0"/>
        <v>1</v>
      </c>
      <c r="K9" s="31">
        <f t="shared" si="0"/>
        <v>1</v>
      </c>
      <c r="L9" s="31">
        <f t="shared" si="0"/>
        <v>0</v>
      </c>
      <c r="M9" s="31">
        <f t="shared" si="0"/>
        <v>0</v>
      </c>
    </row>
    <row r="10" spans="1:13" ht="12.75">
      <c r="A10" s="24">
        <v>6</v>
      </c>
      <c r="B10" s="25" t="s">
        <v>217</v>
      </c>
      <c r="C10" s="20" t="s">
        <v>47</v>
      </c>
      <c r="D10" s="20" t="s">
        <v>73</v>
      </c>
      <c r="E10" s="26" t="s">
        <v>64</v>
      </c>
      <c r="F10" s="28">
        <v>30</v>
      </c>
      <c r="G10" s="30">
        <v>2006</v>
      </c>
      <c r="I10" s="31">
        <f t="shared" si="0"/>
        <v>30</v>
      </c>
      <c r="J10" s="31">
        <f t="shared" si="0"/>
        <v>30</v>
      </c>
      <c r="K10" s="31">
        <f t="shared" si="0"/>
        <v>0</v>
      </c>
      <c r="L10" s="31">
        <f t="shared" si="0"/>
        <v>0</v>
      </c>
      <c r="M10" s="31">
        <f t="shared" si="0"/>
        <v>0</v>
      </c>
    </row>
    <row r="11" spans="1:13" ht="12.75">
      <c r="A11" s="24">
        <v>7</v>
      </c>
      <c r="B11" s="25" t="s">
        <v>218</v>
      </c>
      <c r="C11" s="20" t="s">
        <v>48</v>
      </c>
      <c r="D11" s="20" t="s">
        <v>100</v>
      </c>
      <c r="E11" s="26" t="s">
        <v>64</v>
      </c>
      <c r="F11" s="28">
        <v>18.25</v>
      </c>
      <c r="G11" s="32">
        <v>2006</v>
      </c>
      <c r="I11" s="31">
        <f t="shared" si="0"/>
        <v>18.25</v>
      </c>
      <c r="J11" s="31">
        <f t="shared" si="0"/>
        <v>18.25</v>
      </c>
      <c r="K11" s="31">
        <f t="shared" si="0"/>
        <v>0</v>
      </c>
      <c r="L11" s="31">
        <f t="shared" si="0"/>
        <v>0</v>
      </c>
      <c r="M11" s="31">
        <f t="shared" si="0"/>
        <v>0</v>
      </c>
    </row>
    <row r="12" spans="1:13" ht="12.75">
      <c r="A12" s="24">
        <v>8</v>
      </c>
      <c r="B12" s="25" t="s">
        <v>214</v>
      </c>
      <c r="C12" s="20" t="s">
        <v>49</v>
      </c>
      <c r="D12" s="20" t="s">
        <v>113</v>
      </c>
      <c r="E12" s="26" t="s">
        <v>64</v>
      </c>
      <c r="F12" s="28">
        <v>6.5</v>
      </c>
      <c r="G12" s="32">
        <v>2006</v>
      </c>
      <c r="I12" s="31">
        <f t="shared" si="0"/>
        <v>6.5</v>
      </c>
      <c r="J12" s="31">
        <f t="shared" si="0"/>
        <v>6.5</v>
      </c>
      <c r="K12" s="31">
        <f t="shared" si="0"/>
        <v>0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25" t="s">
        <v>219</v>
      </c>
      <c r="C13" s="20" t="s">
        <v>52</v>
      </c>
      <c r="D13" s="20" t="s">
        <v>138</v>
      </c>
      <c r="E13" s="26" t="s">
        <v>64</v>
      </c>
      <c r="F13" s="28">
        <v>6.2</v>
      </c>
      <c r="G13" s="32">
        <v>2006</v>
      </c>
      <c r="I13" s="31">
        <f t="shared" si="0"/>
        <v>6.2</v>
      </c>
      <c r="J13" s="31">
        <f t="shared" si="0"/>
        <v>6.2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25" t="s">
        <v>499</v>
      </c>
      <c r="C14" s="20" t="s">
        <v>52</v>
      </c>
      <c r="D14" s="20" t="s">
        <v>98</v>
      </c>
      <c r="E14" s="26" t="s">
        <v>64</v>
      </c>
      <c r="F14" s="28">
        <v>3.3</v>
      </c>
      <c r="G14" s="32">
        <v>2006</v>
      </c>
      <c r="I14" s="31">
        <f t="shared" si="0"/>
        <v>3.3</v>
      </c>
      <c r="J14" s="31">
        <f t="shared" si="0"/>
        <v>3.3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19" t="s">
        <v>570</v>
      </c>
      <c r="C15" s="20" t="s">
        <v>48</v>
      </c>
      <c r="D15" s="20" t="s">
        <v>108</v>
      </c>
      <c r="E15" s="20" t="s">
        <v>64</v>
      </c>
      <c r="F15" s="33">
        <v>2.25</v>
      </c>
      <c r="G15" s="34">
        <v>2006</v>
      </c>
      <c r="I15" s="31">
        <f aca="true" t="shared" si="1" ref="I15:M29">+IF($G15&gt;=I$3,$F15,0)</f>
        <v>2.25</v>
      </c>
      <c r="J15" s="31">
        <f t="shared" si="1"/>
        <v>2.25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25" t="s">
        <v>485</v>
      </c>
      <c r="C16" s="20" t="s">
        <v>49</v>
      </c>
      <c r="D16" s="20" t="s">
        <v>77</v>
      </c>
      <c r="E16" s="26" t="s">
        <v>64</v>
      </c>
      <c r="F16" s="28">
        <v>15.75</v>
      </c>
      <c r="G16" s="32">
        <v>2005</v>
      </c>
      <c r="I16" s="31">
        <f t="shared" si="1"/>
        <v>15.75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25" t="s">
        <v>502</v>
      </c>
      <c r="C17" s="20" t="s">
        <v>53</v>
      </c>
      <c r="D17" s="20" t="s">
        <v>153</v>
      </c>
      <c r="E17" s="26" t="s">
        <v>64</v>
      </c>
      <c r="F17" s="28">
        <v>6</v>
      </c>
      <c r="G17" s="32">
        <v>2005</v>
      </c>
      <c r="I17" s="31">
        <f t="shared" si="1"/>
        <v>6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101</v>
      </c>
      <c r="C18" s="20" t="s">
        <v>53</v>
      </c>
      <c r="D18" s="20" t="s">
        <v>91</v>
      </c>
      <c r="E18" s="26" t="s">
        <v>64</v>
      </c>
      <c r="F18" s="28">
        <v>3.75</v>
      </c>
      <c r="G18" s="32">
        <v>2005</v>
      </c>
      <c r="I18" s="31">
        <f t="shared" si="1"/>
        <v>3.75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19" t="s">
        <v>493</v>
      </c>
      <c r="C19" s="20" t="s">
        <v>53</v>
      </c>
      <c r="D19" s="20" t="s">
        <v>169</v>
      </c>
      <c r="E19" s="26" t="s">
        <v>64</v>
      </c>
      <c r="F19" s="33">
        <v>3.05</v>
      </c>
      <c r="G19" s="34">
        <v>2005</v>
      </c>
      <c r="I19" s="31">
        <f t="shared" si="1"/>
        <v>3.05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517</v>
      </c>
      <c r="C20" s="20" t="s">
        <v>52</v>
      </c>
      <c r="D20" s="20" t="s">
        <v>91</v>
      </c>
      <c r="E20" s="26" t="s">
        <v>64</v>
      </c>
      <c r="F20" s="28">
        <v>2.25</v>
      </c>
      <c r="G20" s="32">
        <v>2005</v>
      </c>
      <c r="I20" s="31">
        <f t="shared" si="1"/>
        <v>2.25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25" t="s">
        <v>498</v>
      </c>
      <c r="C21" s="20" t="s">
        <v>51</v>
      </c>
      <c r="D21" s="20" t="s">
        <v>66</v>
      </c>
      <c r="E21" s="26" t="s">
        <v>64</v>
      </c>
      <c r="F21" s="28">
        <v>2</v>
      </c>
      <c r="G21" s="32">
        <v>2005</v>
      </c>
      <c r="I21" s="31">
        <f t="shared" si="1"/>
        <v>2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19" t="s">
        <v>302</v>
      </c>
      <c r="C22" s="20" t="s">
        <v>49</v>
      </c>
      <c r="D22" s="20" t="s">
        <v>78</v>
      </c>
      <c r="E22" s="26" t="s">
        <v>64</v>
      </c>
      <c r="F22" s="33">
        <v>1.75</v>
      </c>
      <c r="G22" s="34">
        <v>2005</v>
      </c>
      <c r="I22" s="31">
        <f t="shared" si="1"/>
        <v>1.75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25" t="s">
        <v>259</v>
      </c>
      <c r="C23" s="20" t="s">
        <v>53</v>
      </c>
      <c r="D23" s="20" t="s">
        <v>146</v>
      </c>
      <c r="E23" s="26" t="s">
        <v>64</v>
      </c>
      <c r="F23" s="28">
        <v>1.25</v>
      </c>
      <c r="G23" s="32">
        <v>2005</v>
      </c>
      <c r="I23" s="31">
        <f t="shared" si="1"/>
        <v>1.25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25" t="s">
        <v>563</v>
      </c>
      <c r="C24" s="20" t="s">
        <v>48</v>
      </c>
      <c r="D24" s="20" t="s">
        <v>91</v>
      </c>
      <c r="E24" s="26" t="s">
        <v>64</v>
      </c>
      <c r="F24" s="28">
        <v>1.25</v>
      </c>
      <c r="G24" s="32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25" t="s">
        <v>583</v>
      </c>
      <c r="C25" s="20" t="s">
        <v>49</v>
      </c>
      <c r="D25" s="20" t="s">
        <v>156</v>
      </c>
      <c r="E25" s="26" t="s">
        <v>64</v>
      </c>
      <c r="F25" s="46">
        <v>1.25</v>
      </c>
      <c r="G25" s="32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25" t="s">
        <v>700</v>
      </c>
      <c r="C26" s="20" t="s">
        <v>701</v>
      </c>
      <c r="D26" s="20" t="s">
        <v>138</v>
      </c>
      <c r="E26" s="26" t="s">
        <v>64</v>
      </c>
      <c r="F26" s="28">
        <v>1.25</v>
      </c>
      <c r="G26" s="32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19" t="s">
        <v>565</v>
      </c>
      <c r="C27" s="20" t="s">
        <v>48</v>
      </c>
      <c r="D27" s="20" t="s">
        <v>95</v>
      </c>
      <c r="E27" s="26" t="s">
        <v>64</v>
      </c>
      <c r="F27" s="33">
        <v>1.25</v>
      </c>
      <c r="G27" s="34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487</v>
      </c>
      <c r="C28" s="20" t="s">
        <v>47</v>
      </c>
      <c r="D28" s="20" t="s">
        <v>223</v>
      </c>
      <c r="E28" s="26" t="s">
        <v>64</v>
      </c>
      <c r="F28" s="33">
        <v>1.25</v>
      </c>
      <c r="G28" s="34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19" t="s">
        <v>584</v>
      </c>
      <c r="C29" s="20" t="s">
        <v>49</v>
      </c>
      <c r="D29" s="20" t="s">
        <v>77</v>
      </c>
      <c r="E29" s="26" t="s">
        <v>64</v>
      </c>
      <c r="F29" s="28">
        <v>1.25</v>
      </c>
      <c r="G29" s="32">
        <v>2005</v>
      </c>
      <c r="I29" s="31">
        <f t="shared" si="1"/>
        <v>1.25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9:13" ht="12.75">
      <c r="I31" s="36">
        <f>+SUM(I5:I29)</f>
        <v>120.45</v>
      </c>
      <c r="J31" s="36">
        <f>+SUM(J5:J29)</f>
        <v>77.15</v>
      </c>
      <c r="K31" s="36">
        <f>+SUM(K5:K29)</f>
        <v>10.65</v>
      </c>
      <c r="L31" s="36">
        <f>+SUM(L5:L29)</f>
        <v>6.15</v>
      </c>
      <c r="M31" s="36">
        <f>+SUM(M5:M29)</f>
        <v>6.15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13" ht="7.5" customHeight="1">
      <c r="B36" s="21"/>
      <c r="C36" s="23"/>
      <c r="E36" s="23"/>
      <c r="F36" s="23"/>
      <c r="I36" s="40"/>
      <c r="J36" s="40"/>
      <c r="K36" s="40"/>
      <c r="L36" s="40"/>
      <c r="M36" s="40"/>
    </row>
    <row r="37" spans="1:13" ht="12.75">
      <c r="A37" s="24">
        <v>1</v>
      </c>
      <c r="B37" s="25" t="s">
        <v>216</v>
      </c>
      <c r="C37" s="20" t="s">
        <v>49</v>
      </c>
      <c r="D37" s="20" t="s">
        <v>70</v>
      </c>
      <c r="E37" s="26">
        <v>2005</v>
      </c>
      <c r="F37" s="28">
        <v>1.1</v>
      </c>
      <c r="G37" s="32">
        <v>2008</v>
      </c>
      <c r="I37" s="31">
        <f aca="true" t="shared" si="2" ref="I37:I44">+CEILING(IF($I$35=E37,F37,IF($I$35&lt;=G37,F37*0.3,0)),0.05)</f>
        <v>1.1</v>
      </c>
      <c r="J37" s="31">
        <f aca="true" t="shared" si="3" ref="J37:J44">+CEILING(IF($J$35&lt;=G37,F37*0.3,0),0.05)</f>
        <v>0.35000000000000003</v>
      </c>
      <c r="K37" s="31">
        <f aca="true" t="shared" si="4" ref="K37:K44">+CEILING(IF($K$35&lt;=G37,F37*0.3,0),0.05)</f>
        <v>0.35000000000000003</v>
      </c>
      <c r="L37" s="31">
        <f aca="true" t="shared" si="5" ref="L37:L44">+CEILING(IF($L$35&lt;=G37,F37*0.3,0),0.05)</f>
        <v>0.35000000000000003</v>
      </c>
      <c r="M37" s="31">
        <f aca="true" t="shared" si="6" ref="M37:M44">CEILING(IF($M$35&lt;=G37,F37*0.3,0),0.05)</f>
        <v>0</v>
      </c>
    </row>
    <row r="38" spans="1:13" ht="12.75">
      <c r="A38" s="24">
        <v>2</v>
      </c>
      <c r="B38" s="25" t="s">
        <v>373</v>
      </c>
      <c r="C38" s="20" t="s">
        <v>49</v>
      </c>
      <c r="D38" s="20" t="s">
        <v>99</v>
      </c>
      <c r="E38" s="26">
        <v>2004</v>
      </c>
      <c r="F38" s="28">
        <v>5.95</v>
      </c>
      <c r="G38" s="32">
        <v>2007</v>
      </c>
      <c r="I38" s="31">
        <f t="shared" si="2"/>
        <v>1.8</v>
      </c>
      <c r="J38" s="31">
        <f t="shared" si="3"/>
        <v>1.8</v>
      </c>
      <c r="K38" s="31">
        <f t="shared" si="4"/>
        <v>1.8</v>
      </c>
      <c r="L38" s="31">
        <f t="shared" si="5"/>
        <v>0</v>
      </c>
      <c r="M38" s="31">
        <f t="shared" si="6"/>
        <v>0</v>
      </c>
    </row>
    <row r="39" spans="1:13" ht="12.75">
      <c r="A39" s="24">
        <v>3</v>
      </c>
      <c r="B39" s="25" t="s">
        <v>374</v>
      </c>
      <c r="C39" s="20" t="s">
        <v>48</v>
      </c>
      <c r="D39" s="20" t="s">
        <v>223</v>
      </c>
      <c r="E39" s="26">
        <v>2004</v>
      </c>
      <c r="F39" s="28">
        <v>4.95</v>
      </c>
      <c r="G39" s="32">
        <v>2005</v>
      </c>
      <c r="I39" s="31">
        <f t="shared" si="2"/>
        <v>1.5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B40" s="19" t="s">
        <v>608</v>
      </c>
      <c r="C40" s="20" t="s">
        <v>50</v>
      </c>
      <c r="D40" s="20" t="s">
        <v>68</v>
      </c>
      <c r="E40" s="26">
        <v>2005</v>
      </c>
      <c r="F40" s="28">
        <v>1.25</v>
      </c>
      <c r="G40" s="32">
        <v>2005</v>
      </c>
      <c r="I40" s="31">
        <f t="shared" si="2"/>
        <v>1.25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B41" s="19" t="s">
        <v>566</v>
      </c>
      <c r="C41" s="20" t="s">
        <v>47</v>
      </c>
      <c r="D41" s="20" t="s">
        <v>73</v>
      </c>
      <c r="E41" s="26">
        <v>2005</v>
      </c>
      <c r="F41" s="33">
        <v>1.25</v>
      </c>
      <c r="G41" s="34">
        <v>2005</v>
      </c>
      <c r="I41" s="31">
        <f t="shared" si="2"/>
        <v>1.25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25" t="s">
        <v>564</v>
      </c>
      <c r="C42" s="20" t="s">
        <v>52</v>
      </c>
      <c r="D42" s="20" t="s">
        <v>99</v>
      </c>
      <c r="E42" s="26">
        <v>2005</v>
      </c>
      <c r="F42" s="28">
        <v>1.25</v>
      </c>
      <c r="G42" s="32">
        <v>2005</v>
      </c>
      <c r="I42" s="31">
        <f t="shared" si="2"/>
        <v>1.25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D43" s="20"/>
      <c r="E43" s="26"/>
      <c r="F43" s="28"/>
      <c r="G43" s="32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D44" s="20"/>
      <c r="E44" s="26"/>
      <c r="F44" s="33"/>
      <c r="G44" s="34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9:13" ht="7.5" customHeight="1">
      <c r="I45" s="25"/>
      <c r="J45" s="25"/>
      <c r="K45" s="25"/>
      <c r="L45" s="25"/>
      <c r="M45" s="25"/>
    </row>
    <row r="46" spans="9:13" ht="12.75">
      <c r="I46" s="36">
        <f>+SUM(I37:I45)</f>
        <v>8.15</v>
      </c>
      <c r="J46" s="36">
        <f>+SUM(J37:J45)</f>
        <v>2.15</v>
      </c>
      <c r="K46" s="36">
        <f>+SUM(K37:K45)</f>
        <v>2.15</v>
      </c>
      <c r="L46" s="36">
        <f>+SUM(L37:L45)</f>
        <v>0.35000000000000003</v>
      </c>
      <c r="M46" s="36">
        <f>+SUM(M37:M45)</f>
        <v>0</v>
      </c>
    </row>
    <row r="47" spans="9:13" ht="12.75">
      <c r="I47" s="37"/>
      <c r="J47" s="37"/>
      <c r="K47" s="37"/>
      <c r="L47" s="37"/>
      <c r="M47" s="37"/>
    </row>
    <row r="48" spans="1:13" ht="15.75">
      <c r="A48" s="50" t="s">
        <v>87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9:13" ht="7.5" customHeight="1">
      <c r="I49" s="37"/>
      <c r="J49" s="37"/>
      <c r="K49" s="37"/>
      <c r="L49" s="37"/>
      <c r="M49" s="37"/>
    </row>
    <row r="50" spans="1:13" ht="12.75">
      <c r="A50" s="24"/>
      <c r="B50" s="21" t="s">
        <v>88</v>
      </c>
      <c r="C50" s="22"/>
      <c r="D50" s="22"/>
      <c r="E50" s="22"/>
      <c r="F50" s="22" t="s">
        <v>89</v>
      </c>
      <c r="G50" s="22" t="s">
        <v>27</v>
      </c>
      <c r="I50" s="23">
        <f>+I$3</f>
        <v>2005</v>
      </c>
      <c r="J50" s="23">
        <f>+J$3</f>
        <v>2006</v>
      </c>
      <c r="K50" s="23">
        <f>+K$3</f>
        <v>2007</v>
      </c>
      <c r="L50" s="23">
        <f>+L$3</f>
        <v>2008</v>
      </c>
      <c r="M50" s="23">
        <f>+M$3</f>
        <v>2009</v>
      </c>
    </row>
    <row r="51" spans="1:13" ht="7.5" customHeight="1">
      <c r="A51" s="24"/>
      <c r="I51" s="38"/>
      <c r="J51" s="38"/>
      <c r="K51" s="38"/>
      <c r="L51" s="38"/>
      <c r="M51" s="38"/>
    </row>
    <row r="52" spans="1:13" ht="12.75">
      <c r="A52" s="24">
        <v>1</v>
      </c>
      <c r="B52" s="48"/>
      <c r="C52" s="48"/>
      <c r="D52" s="48"/>
      <c r="E52" s="48"/>
      <c r="F52" s="27"/>
      <c r="G52" s="20"/>
      <c r="I52" s="41">
        <v>0</v>
      </c>
      <c r="J52" s="41">
        <v>0</v>
      </c>
      <c r="K52" s="41">
        <v>0</v>
      </c>
      <c r="L52" s="41">
        <v>0</v>
      </c>
      <c r="M52" s="41">
        <v>0</v>
      </c>
    </row>
    <row r="53" spans="1:13" ht="12.75">
      <c r="A53" s="24">
        <v>2</v>
      </c>
      <c r="B53" s="48"/>
      <c r="C53" s="48"/>
      <c r="D53" s="48"/>
      <c r="E53" s="48"/>
      <c r="I53" s="38"/>
      <c r="J53" s="38"/>
      <c r="K53" s="38"/>
      <c r="L53" s="38"/>
      <c r="M53" s="38"/>
    </row>
    <row r="54" spans="1:13" ht="7.5" customHeight="1">
      <c r="A54" s="24"/>
      <c r="I54" s="38"/>
      <c r="J54" s="38"/>
      <c r="K54" s="38"/>
      <c r="L54" s="38"/>
      <c r="M54" s="38"/>
    </row>
    <row r="55" spans="1:13" ht="12.75">
      <c r="A55" s="24"/>
      <c r="I55" s="35">
        <f>+SUM(I52:I54)</f>
        <v>0</v>
      </c>
      <c r="J55" s="35">
        <f>+SUM(J52:J54)</f>
        <v>0</v>
      </c>
      <c r="K55" s="35">
        <f>+SUM(K52:K54)</f>
        <v>0</v>
      </c>
      <c r="L55" s="35">
        <f>+SUM(L52:L54)</f>
        <v>0</v>
      </c>
      <c r="M55" s="35">
        <f>+SUM(M52:M54)</f>
        <v>0</v>
      </c>
    </row>
  </sheetData>
  <sheetProtection/>
  <mergeCells count="5">
    <mergeCell ref="B52:E52"/>
    <mergeCell ref="B53:E53"/>
    <mergeCell ref="A1:M1"/>
    <mergeCell ref="A33:M33"/>
    <mergeCell ref="A48:M4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25" t="s">
        <v>423</v>
      </c>
      <c r="C5" s="20" t="s">
        <v>49</v>
      </c>
      <c r="D5" s="20" t="s">
        <v>150</v>
      </c>
      <c r="E5" s="26" t="s">
        <v>64</v>
      </c>
      <c r="F5" s="28">
        <v>4.85</v>
      </c>
      <c r="G5" s="32">
        <v>2009</v>
      </c>
      <c r="I5" s="31">
        <f aca="true" t="shared" si="0" ref="I5:M14">+IF($G5&gt;=I$3,$F5,0)</f>
        <v>4.85</v>
      </c>
      <c r="J5" s="31">
        <f t="shared" si="0"/>
        <v>4.85</v>
      </c>
      <c r="K5" s="31">
        <f t="shared" si="0"/>
        <v>4.85</v>
      </c>
      <c r="L5" s="31">
        <f t="shared" si="0"/>
        <v>4.85</v>
      </c>
      <c r="M5" s="31">
        <f t="shared" si="0"/>
        <v>4.85</v>
      </c>
    </row>
    <row r="6" spans="1:13" ht="12.75">
      <c r="A6" s="24">
        <v>2</v>
      </c>
      <c r="B6" s="25" t="s">
        <v>448</v>
      </c>
      <c r="C6" s="20" t="s">
        <v>47</v>
      </c>
      <c r="D6" s="20" t="s">
        <v>63</v>
      </c>
      <c r="E6" s="26" t="s">
        <v>64</v>
      </c>
      <c r="F6" s="28">
        <v>1.25</v>
      </c>
      <c r="G6" s="32">
        <v>2009</v>
      </c>
      <c r="I6" s="31">
        <f t="shared" si="0"/>
        <v>1.25</v>
      </c>
      <c r="J6" s="31">
        <f t="shared" si="0"/>
        <v>1.25</v>
      </c>
      <c r="K6" s="31">
        <f t="shared" si="0"/>
        <v>1.25</v>
      </c>
      <c r="L6" s="31">
        <f t="shared" si="0"/>
        <v>1.25</v>
      </c>
      <c r="M6" s="31">
        <f t="shared" si="0"/>
        <v>1.25</v>
      </c>
    </row>
    <row r="7" spans="1:13" ht="12.75">
      <c r="A7" s="24">
        <v>3</v>
      </c>
      <c r="B7" s="25" t="s">
        <v>237</v>
      </c>
      <c r="C7" s="20" t="s">
        <v>49</v>
      </c>
      <c r="D7" s="20" t="s">
        <v>110</v>
      </c>
      <c r="E7" s="26" t="s">
        <v>64</v>
      </c>
      <c r="F7" s="28">
        <v>2.5</v>
      </c>
      <c r="G7" s="32">
        <v>2008</v>
      </c>
      <c r="I7" s="31">
        <f t="shared" si="0"/>
        <v>2.5</v>
      </c>
      <c r="J7" s="31">
        <f t="shared" si="0"/>
        <v>2.5</v>
      </c>
      <c r="K7" s="31">
        <f t="shared" si="0"/>
        <v>2.5</v>
      </c>
      <c r="L7" s="31">
        <f t="shared" si="0"/>
        <v>2.5</v>
      </c>
      <c r="M7" s="31">
        <f t="shared" si="0"/>
        <v>0</v>
      </c>
    </row>
    <row r="8" spans="1:13" ht="12.75">
      <c r="A8" s="24">
        <v>4</v>
      </c>
      <c r="B8" s="25" t="s">
        <v>228</v>
      </c>
      <c r="C8" s="20" t="s">
        <v>48</v>
      </c>
      <c r="D8" s="20" t="s">
        <v>98</v>
      </c>
      <c r="E8" s="26" t="s">
        <v>64</v>
      </c>
      <c r="F8" s="28">
        <v>27</v>
      </c>
      <c r="G8" s="32">
        <v>2007</v>
      </c>
      <c r="I8" s="31">
        <f t="shared" si="0"/>
        <v>27</v>
      </c>
      <c r="J8" s="31">
        <f t="shared" si="0"/>
        <v>27</v>
      </c>
      <c r="K8" s="31">
        <f t="shared" si="0"/>
        <v>27</v>
      </c>
      <c r="L8" s="31">
        <f t="shared" si="0"/>
        <v>0</v>
      </c>
      <c r="M8" s="31">
        <f t="shared" si="0"/>
        <v>0</v>
      </c>
    </row>
    <row r="9" spans="1:13" ht="12.75">
      <c r="A9" s="24">
        <v>5</v>
      </c>
      <c r="B9" s="25" t="s">
        <v>229</v>
      </c>
      <c r="C9" s="20" t="s">
        <v>47</v>
      </c>
      <c r="D9" s="20" t="s">
        <v>68</v>
      </c>
      <c r="E9" s="26" t="s">
        <v>64</v>
      </c>
      <c r="F9" s="28">
        <v>25.05</v>
      </c>
      <c r="G9" s="32">
        <v>2007</v>
      </c>
      <c r="I9" s="31">
        <f t="shared" si="0"/>
        <v>25.05</v>
      </c>
      <c r="J9" s="31">
        <f t="shared" si="0"/>
        <v>25.05</v>
      </c>
      <c r="K9" s="31">
        <f t="shared" si="0"/>
        <v>25.05</v>
      </c>
      <c r="L9" s="31">
        <f t="shared" si="0"/>
        <v>0</v>
      </c>
      <c r="M9" s="31">
        <f t="shared" si="0"/>
        <v>0</v>
      </c>
    </row>
    <row r="10" spans="1:13" ht="12.75">
      <c r="A10" s="24">
        <v>6</v>
      </c>
      <c r="B10" s="25" t="s">
        <v>230</v>
      </c>
      <c r="C10" s="20" t="s">
        <v>49</v>
      </c>
      <c r="D10" s="20" t="s">
        <v>66</v>
      </c>
      <c r="E10" s="26" t="s">
        <v>64</v>
      </c>
      <c r="F10" s="28">
        <v>7.5</v>
      </c>
      <c r="G10" s="32">
        <v>2007</v>
      </c>
      <c r="I10" s="31">
        <f t="shared" si="0"/>
        <v>7.5</v>
      </c>
      <c r="J10" s="31">
        <f t="shared" si="0"/>
        <v>7.5</v>
      </c>
      <c r="K10" s="31">
        <f t="shared" si="0"/>
        <v>7.5</v>
      </c>
      <c r="L10" s="31">
        <f t="shared" si="0"/>
        <v>0</v>
      </c>
      <c r="M10" s="31">
        <f t="shared" si="0"/>
        <v>0</v>
      </c>
    </row>
    <row r="11" spans="1:13" ht="12.75">
      <c r="A11" s="24">
        <v>7</v>
      </c>
      <c r="B11" s="25" t="s">
        <v>530</v>
      </c>
      <c r="C11" s="20" t="s">
        <v>52</v>
      </c>
      <c r="D11" s="20" t="s">
        <v>100</v>
      </c>
      <c r="E11" s="26" t="s">
        <v>64</v>
      </c>
      <c r="F11" s="28">
        <v>3.1</v>
      </c>
      <c r="G11" s="32">
        <v>2007</v>
      </c>
      <c r="I11" s="31">
        <f t="shared" si="0"/>
        <v>3.1</v>
      </c>
      <c r="J11" s="31">
        <f t="shared" si="0"/>
        <v>3.1</v>
      </c>
      <c r="K11" s="31">
        <f t="shared" si="0"/>
        <v>3.1</v>
      </c>
      <c r="L11" s="31">
        <f t="shared" si="0"/>
        <v>0</v>
      </c>
      <c r="M11" s="31">
        <f t="shared" si="0"/>
        <v>0</v>
      </c>
    </row>
    <row r="12" spans="1:13" ht="12.75">
      <c r="A12" s="24">
        <v>8</v>
      </c>
      <c r="B12" s="25" t="s">
        <v>543</v>
      </c>
      <c r="C12" s="20" t="s">
        <v>52</v>
      </c>
      <c r="D12" s="20" t="s">
        <v>153</v>
      </c>
      <c r="E12" s="26" t="s">
        <v>64</v>
      </c>
      <c r="F12" s="28">
        <v>2.5</v>
      </c>
      <c r="G12" s="32">
        <v>2006</v>
      </c>
      <c r="I12" s="31">
        <f t="shared" si="0"/>
        <v>2.5</v>
      </c>
      <c r="J12" s="31">
        <f t="shared" si="0"/>
        <v>2.5</v>
      </c>
      <c r="K12" s="31">
        <f t="shared" si="0"/>
        <v>0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25" t="s">
        <v>350</v>
      </c>
      <c r="C13" s="20" t="s">
        <v>53</v>
      </c>
      <c r="D13" s="20" t="s">
        <v>73</v>
      </c>
      <c r="E13" s="26" t="s">
        <v>64</v>
      </c>
      <c r="F13" s="28">
        <v>2.05</v>
      </c>
      <c r="G13" s="32">
        <v>2006</v>
      </c>
      <c r="I13" s="31">
        <f t="shared" si="0"/>
        <v>2.05</v>
      </c>
      <c r="J13" s="31">
        <f t="shared" si="0"/>
        <v>2.05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25" t="s">
        <v>231</v>
      </c>
      <c r="C14" s="20" t="s">
        <v>49</v>
      </c>
      <c r="D14" s="20" t="s">
        <v>100</v>
      </c>
      <c r="E14" s="26" t="s">
        <v>64</v>
      </c>
      <c r="F14" s="28">
        <v>13.95</v>
      </c>
      <c r="G14" s="32">
        <v>2005</v>
      </c>
      <c r="I14" s="31">
        <f t="shared" si="0"/>
        <v>13.95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25" t="s">
        <v>232</v>
      </c>
      <c r="C15" s="20" t="s">
        <v>52</v>
      </c>
      <c r="D15" s="20" t="s">
        <v>95</v>
      </c>
      <c r="E15" s="26" t="s">
        <v>64</v>
      </c>
      <c r="F15" s="28">
        <v>5.15</v>
      </c>
      <c r="G15" s="32">
        <v>2005</v>
      </c>
      <c r="I15" s="31">
        <f aca="true" t="shared" si="1" ref="I15:M29">+IF($G15&gt;=I$3,$F15,0)</f>
        <v>5.15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25" t="s">
        <v>233</v>
      </c>
      <c r="C16" s="20" t="s">
        <v>52</v>
      </c>
      <c r="D16" s="20" t="s">
        <v>70</v>
      </c>
      <c r="E16" s="26" t="s">
        <v>64</v>
      </c>
      <c r="F16" s="28">
        <v>4</v>
      </c>
      <c r="G16" s="32">
        <v>2005</v>
      </c>
      <c r="I16" s="31">
        <f t="shared" si="1"/>
        <v>4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25" t="s">
        <v>234</v>
      </c>
      <c r="C17" s="20" t="s">
        <v>52</v>
      </c>
      <c r="D17" s="20" t="s">
        <v>150</v>
      </c>
      <c r="E17" s="26" t="s">
        <v>64</v>
      </c>
      <c r="F17" s="28">
        <v>2.7</v>
      </c>
      <c r="G17" s="32">
        <v>2005</v>
      </c>
      <c r="I17" s="31">
        <f t="shared" si="1"/>
        <v>2.7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518</v>
      </c>
      <c r="C18" s="20" t="s">
        <v>51</v>
      </c>
      <c r="D18" s="20" t="s">
        <v>70</v>
      </c>
      <c r="E18" s="26" t="s">
        <v>64</v>
      </c>
      <c r="F18" s="28">
        <v>2.35</v>
      </c>
      <c r="G18" s="32">
        <v>2005</v>
      </c>
      <c r="I18" s="31">
        <f t="shared" si="1"/>
        <v>2.35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25" t="s">
        <v>536</v>
      </c>
      <c r="C19" s="20" t="s">
        <v>50</v>
      </c>
      <c r="D19" s="20" t="s">
        <v>82</v>
      </c>
      <c r="E19" s="26" t="s">
        <v>64</v>
      </c>
      <c r="F19" s="28">
        <v>1.25</v>
      </c>
      <c r="G19" s="32">
        <v>2005</v>
      </c>
      <c r="I19" s="31">
        <f t="shared" si="1"/>
        <v>1.25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603</v>
      </c>
      <c r="C20" s="20" t="s">
        <v>48</v>
      </c>
      <c r="D20" s="20" t="s">
        <v>66</v>
      </c>
      <c r="E20" s="26" t="s">
        <v>64</v>
      </c>
      <c r="F20" s="28">
        <v>1.25</v>
      </c>
      <c r="G20" s="32">
        <v>2005</v>
      </c>
      <c r="I20" s="31">
        <f t="shared" si="1"/>
        <v>1.25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25" t="s">
        <v>235</v>
      </c>
      <c r="C21" s="20" t="s">
        <v>49</v>
      </c>
      <c r="D21" s="20" t="s">
        <v>63</v>
      </c>
      <c r="E21" s="26" t="s">
        <v>64</v>
      </c>
      <c r="F21" s="28">
        <v>1</v>
      </c>
      <c r="G21" s="32">
        <v>2005</v>
      </c>
      <c r="I21" s="31">
        <f t="shared" si="1"/>
        <v>1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19" t="s">
        <v>236</v>
      </c>
      <c r="C22" s="20" t="s">
        <v>53</v>
      </c>
      <c r="D22" s="20" t="s">
        <v>98</v>
      </c>
      <c r="E22" s="20" t="s">
        <v>64</v>
      </c>
      <c r="F22" s="33">
        <v>1</v>
      </c>
      <c r="G22" s="34">
        <v>2005</v>
      </c>
      <c r="I22" s="31">
        <f t="shared" si="1"/>
        <v>1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19" t="s">
        <v>631</v>
      </c>
      <c r="C23" s="20" t="s">
        <v>48</v>
      </c>
      <c r="D23" s="20" t="s">
        <v>106</v>
      </c>
      <c r="E23" s="26" t="s">
        <v>64</v>
      </c>
      <c r="F23" s="28">
        <v>1.25</v>
      </c>
      <c r="G23" s="32">
        <v>2005</v>
      </c>
      <c r="I23" s="31">
        <f t="shared" si="1"/>
        <v>1.25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19" t="s">
        <v>632</v>
      </c>
      <c r="C24" s="20" t="s">
        <v>48</v>
      </c>
      <c r="D24" s="20" t="s">
        <v>91</v>
      </c>
      <c r="E24" s="20" t="s">
        <v>64</v>
      </c>
      <c r="F24" s="33">
        <v>1.25</v>
      </c>
      <c r="G24" s="34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19" t="s">
        <v>633</v>
      </c>
      <c r="C25" s="20" t="s">
        <v>52</v>
      </c>
      <c r="D25" s="20" t="s">
        <v>73</v>
      </c>
      <c r="E25" s="20" t="s">
        <v>64</v>
      </c>
      <c r="F25" s="33">
        <v>1.25</v>
      </c>
      <c r="G25" s="34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19" t="s">
        <v>634</v>
      </c>
      <c r="C26" s="20" t="s">
        <v>49</v>
      </c>
      <c r="D26" s="20" t="s">
        <v>93</v>
      </c>
      <c r="E26" s="20" t="s">
        <v>64</v>
      </c>
      <c r="F26" s="33">
        <v>1.25</v>
      </c>
      <c r="G26" s="34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D27" s="20"/>
      <c r="E27" s="20"/>
      <c r="F27" s="33"/>
      <c r="G27" s="34"/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D28" s="20"/>
      <c r="E28" s="20"/>
      <c r="F28" s="33"/>
      <c r="G28" s="34"/>
      <c r="I28" s="31">
        <f t="shared" si="1"/>
        <v>0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D29" s="20"/>
      <c r="E29" s="20"/>
      <c r="F29" s="33"/>
      <c r="G29" s="34"/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9:13" ht="12.75">
      <c r="I31" s="36">
        <f>+SUM(I5:I29)</f>
        <v>113.45</v>
      </c>
      <c r="J31" s="36">
        <f>+SUM(J5:J29)</f>
        <v>75.8</v>
      </c>
      <c r="K31" s="36">
        <f>+SUM(K5:K29)</f>
        <v>71.25</v>
      </c>
      <c r="L31" s="36">
        <f>+SUM(L5:L29)</f>
        <v>8.6</v>
      </c>
      <c r="M31" s="36">
        <f>+SUM(M5:M29)</f>
        <v>6.1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D37" s="20"/>
      <c r="E37" s="20"/>
      <c r="F37" s="29"/>
      <c r="G37" s="20"/>
      <c r="I37" s="31">
        <f>+CEILING(IF($I$35=E37,F37,IF($I$35&lt;=G37,F37*0.3,0)),0.05)</f>
        <v>0</v>
      </c>
      <c r="J37" s="31">
        <f>+CEILING(IF($J$35&lt;=G37,F37*0.3,0),0.05)</f>
        <v>0</v>
      </c>
      <c r="K37" s="31">
        <f>+CEILING(IF($K$35&lt;=G37,F37*0.3,0),0.05)</f>
        <v>0</v>
      </c>
      <c r="L37" s="31">
        <f>+CEILING(IF($L$35&lt;=G37,F37*0.3,0),0.05)</f>
        <v>0</v>
      </c>
      <c r="M37" s="31">
        <f>CEILING(IF($M$35&lt;=G37,F37*0.3,0),0.05)</f>
        <v>0</v>
      </c>
    </row>
    <row r="38" spans="1:13" ht="12.75">
      <c r="A38" s="24">
        <v>2</v>
      </c>
      <c r="D38" s="20"/>
      <c r="E38" s="20"/>
      <c r="G38" s="20"/>
      <c r="I38" s="31">
        <f>+CEILING(IF($I$35=E38,F38,IF($I$35&lt;=G38,F38*0.3,0)),0.05)</f>
        <v>0</v>
      </c>
      <c r="J38" s="31">
        <f>+CEILING(IF($J$35&lt;=G38,F38*0.3,0),0.05)</f>
        <v>0</v>
      </c>
      <c r="K38" s="31">
        <f>+CEILING(IF($K$35&lt;=G38,F38*0.3,0),0.05)</f>
        <v>0</v>
      </c>
      <c r="L38" s="31">
        <f>+CEILING(IF($L$35&lt;=G38,F38*0.3,0),0.05)</f>
        <v>0</v>
      </c>
      <c r="M38" s="31">
        <f>CEILING(IF($M$35&lt;=G38,F38*0.3,0),0.05)</f>
        <v>0</v>
      </c>
    </row>
    <row r="39" spans="1:13" ht="12.75">
      <c r="A39" s="24">
        <v>3</v>
      </c>
      <c r="D39" s="20"/>
      <c r="E39" s="20"/>
      <c r="G39" s="20"/>
      <c r="I39" s="31">
        <f>+CEILING(IF($I$35=E39,F39,IF($I$35&lt;=G39,F39*0.3,0)),0.05)</f>
        <v>0</v>
      </c>
      <c r="J39" s="31">
        <f>+CEILING(IF($J$35&lt;=G39,F39*0.3,0),0.05)</f>
        <v>0</v>
      </c>
      <c r="K39" s="31">
        <f>+CEILING(IF($K$35&lt;=G39,F39*0.3,0),0.05)</f>
        <v>0</v>
      </c>
      <c r="L39" s="31">
        <f>+CEILING(IF($L$35&lt;=G39,F39*0.3,0),0.05)</f>
        <v>0</v>
      </c>
      <c r="M39" s="31">
        <f>CEILING(IF($M$35&lt;=G39,F39*0.3,0),0.05)</f>
        <v>0</v>
      </c>
    </row>
    <row r="40" spans="1:13" ht="12.75">
      <c r="A40" s="24">
        <v>4</v>
      </c>
      <c r="D40" s="20"/>
      <c r="E40" s="20"/>
      <c r="G40" s="20"/>
      <c r="I40" s="31">
        <f>+CEILING(IF($I$35=E40,F40,IF($I$35&lt;=G40,F40*0.3,0)),0.05)</f>
        <v>0</v>
      </c>
      <c r="J40" s="31">
        <f>+CEILING(IF($J$35&lt;=G40,F40*0.3,0),0.05)</f>
        <v>0</v>
      </c>
      <c r="K40" s="31">
        <f>+CEILING(IF($K$35&lt;=G40,F40*0.3,0),0.05)</f>
        <v>0</v>
      </c>
      <c r="L40" s="31">
        <f>+CEILING(IF($L$35&lt;=G40,F40*0.3,0),0.05)</f>
        <v>0</v>
      </c>
      <c r="M40" s="31">
        <f>CEILING(IF($M$35&lt;=G40,F40*0.3,0),0.05)</f>
        <v>0</v>
      </c>
    </row>
    <row r="41" spans="1:13" ht="12.75">
      <c r="A41" s="24">
        <v>5</v>
      </c>
      <c r="D41" s="20"/>
      <c r="E41" s="20"/>
      <c r="G41" s="20"/>
      <c r="I41" s="31">
        <f>+CEILING(IF($I$35=E41,F41,IF($I$35&lt;=G41,F41*0.3,0)),0.05)</f>
        <v>0</v>
      </c>
      <c r="J41" s="31">
        <f>+CEILING(IF($J$35&lt;=G41,F41*0.3,0),0.05)</f>
        <v>0</v>
      </c>
      <c r="K41" s="31">
        <f>+CEILING(IF($K$35&lt;=G41,F41*0.3,0),0.05)</f>
        <v>0</v>
      </c>
      <c r="L41" s="31">
        <f>+CEILING(IF($L$35&lt;=G41,F41*0.3,0),0.05)</f>
        <v>0</v>
      </c>
      <c r="M41" s="31">
        <f>CEILING(IF($M$35&lt;=G41,F41*0.3,0),0.05)</f>
        <v>0</v>
      </c>
    </row>
    <row r="42" spans="9:13" ht="7.5" customHeight="1">
      <c r="I42" s="25"/>
      <c r="J42" s="25"/>
      <c r="K42" s="25"/>
      <c r="L42" s="25"/>
      <c r="M42" s="25"/>
    </row>
    <row r="43" spans="9:13" ht="12.75">
      <c r="I43" s="36">
        <f>+SUM(I37:I42)</f>
        <v>0</v>
      </c>
      <c r="J43" s="36">
        <f>+SUM(J37:J42)</f>
        <v>0</v>
      </c>
      <c r="K43" s="36">
        <f>+SUM(K37:K42)</f>
        <v>0</v>
      </c>
      <c r="L43" s="36">
        <f>+SUM(L37:L42)</f>
        <v>0</v>
      </c>
      <c r="M43" s="36">
        <f>+SUM(M37:M42)</f>
        <v>0</v>
      </c>
    </row>
    <row r="44" spans="9:13" ht="12.75">
      <c r="I44" s="37"/>
      <c r="J44" s="37"/>
      <c r="K44" s="37"/>
      <c r="L44" s="37"/>
      <c r="M44" s="37"/>
    </row>
    <row r="45" spans="1:13" ht="15.75">
      <c r="A45" s="50" t="s">
        <v>87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9:13" ht="7.5" customHeight="1">
      <c r="I46" s="37"/>
      <c r="J46" s="37"/>
      <c r="K46" s="37"/>
      <c r="L46" s="37"/>
      <c r="M46" s="37"/>
    </row>
    <row r="47" spans="1:13" ht="12.75">
      <c r="A47" s="24"/>
      <c r="B47" s="21" t="s">
        <v>88</v>
      </c>
      <c r="C47" s="22"/>
      <c r="D47" s="22"/>
      <c r="E47" s="22"/>
      <c r="F47" s="22" t="s">
        <v>89</v>
      </c>
      <c r="G47" s="22" t="s">
        <v>27</v>
      </c>
      <c r="I47" s="23">
        <f>+I$3</f>
        <v>2005</v>
      </c>
      <c r="J47" s="23">
        <f>+J$3</f>
        <v>2006</v>
      </c>
      <c r="K47" s="23">
        <f>+K$3</f>
        <v>2007</v>
      </c>
      <c r="L47" s="23">
        <f>+L$3</f>
        <v>2008</v>
      </c>
      <c r="M47" s="23">
        <f>+M$3</f>
        <v>2009</v>
      </c>
    </row>
    <row r="48" spans="1:13" ht="7.5" customHeight="1">
      <c r="A48" s="24"/>
      <c r="I48" s="38"/>
      <c r="J48" s="38"/>
      <c r="K48" s="38"/>
      <c r="L48" s="38"/>
      <c r="M48" s="38"/>
    </row>
    <row r="49" spans="1:13" ht="12.75">
      <c r="A49" s="24">
        <v>1</v>
      </c>
      <c r="B49" s="48"/>
      <c r="C49" s="48"/>
      <c r="D49" s="48"/>
      <c r="E49" s="48"/>
      <c r="I49" s="38"/>
      <c r="J49" s="38"/>
      <c r="K49" s="38"/>
      <c r="L49" s="38"/>
      <c r="M49" s="38"/>
    </row>
    <row r="50" spans="1:13" ht="12.75">
      <c r="A50" s="24">
        <v>2</v>
      </c>
      <c r="B50" s="48"/>
      <c r="C50" s="48"/>
      <c r="D50" s="48"/>
      <c r="E50" s="48"/>
      <c r="I50" s="38"/>
      <c r="J50" s="38"/>
      <c r="K50" s="38"/>
      <c r="L50" s="38"/>
      <c r="M50" s="38"/>
    </row>
    <row r="51" spans="1:13" ht="7.5" customHeight="1">
      <c r="A51" s="24"/>
      <c r="I51" s="38"/>
      <c r="J51" s="38"/>
      <c r="K51" s="38"/>
      <c r="L51" s="38"/>
      <c r="M51" s="38"/>
    </row>
    <row r="52" spans="1:13" ht="12.75">
      <c r="A52" s="24"/>
      <c r="I52" s="35">
        <f>+SUM(I49:I51)</f>
        <v>0</v>
      </c>
      <c r="J52" s="35">
        <f>+SUM(J49:J51)</f>
        <v>0</v>
      </c>
      <c r="K52" s="35">
        <f>+SUM(K49:K51)</f>
        <v>0</v>
      </c>
      <c r="L52" s="35">
        <f>+SUM(L49:L51)</f>
        <v>0</v>
      </c>
      <c r="M52" s="35">
        <f>+SUM(M49:M51)</f>
        <v>0</v>
      </c>
    </row>
  </sheetData>
  <sheetProtection/>
  <mergeCells count="5">
    <mergeCell ref="B49:E49"/>
    <mergeCell ref="B50:E50"/>
    <mergeCell ref="A1:M1"/>
    <mergeCell ref="A33:M33"/>
    <mergeCell ref="A45:M4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19" t="s">
        <v>558</v>
      </c>
      <c r="C5" s="20" t="s">
        <v>49</v>
      </c>
      <c r="D5" s="20" t="s">
        <v>77</v>
      </c>
      <c r="E5" s="20" t="s">
        <v>64</v>
      </c>
      <c r="F5" s="28">
        <v>6.35</v>
      </c>
      <c r="G5" s="32">
        <v>2009</v>
      </c>
      <c r="I5" s="31">
        <f aca="true" t="shared" si="0" ref="I5:M14">+IF($G5&gt;=I$3,$F5,0)</f>
        <v>6.35</v>
      </c>
      <c r="J5" s="31">
        <f t="shared" si="0"/>
        <v>6.35</v>
      </c>
      <c r="K5" s="31">
        <f t="shared" si="0"/>
        <v>6.35</v>
      </c>
      <c r="L5" s="31">
        <f t="shared" si="0"/>
        <v>6.35</v>
      </c>
      <c r="M5" s="31">
        <f t="shared" si="0"/>
        <v>6.35</v>
      </c>
    </row>
    <row r="6" spans="1:13" ht="12.75">
      <c r="A6" s="24">
        <v>2</v>
      </c>
      <c r="B6" s="19" t="s">
        <v>418</v>
      </c>
      <c r="C6" s="20" t="s">
        <v>48</v>
      </c>
      <c r="D6" s="20" t="s">
        <v>156</v>
      </c>
      <c r="E6" s="20" t="s">
        <v>64</v>
      </c>
      <c r="F6" s="28">
        <v>6.05</v>
      </c>
      <c r="G6" s="32">
        <v>2009</v>
      </c>
      <c r="I6" s="31">
        <f t="shared" si="0"/>
        <v>6.05</v>
      </c>
      <c r="J6" s="31">
        <f t="shared" si="0"/>
        <v>6.05</v>
      </c>
      <c r="K6" s="31">
        <f t="shared" si="0"/>
        <v>6.05</v>
      </c>
      <c r="L6" s="31">
        <f t="shared" si="0"/>
        <v>6.05</v>
      </c>
      <c r="M6" s="31">
        <f t="shared" si="0"/>
        <v>6.05</v>
      </c>
    </row>
    <row r="7" spans="1:13" ht="12.75">
      <c r="A7" s="24">
        <v>3</v>
      </c>
      <c r="B7" s="19" t="s">
        <v>507</v>
      </c>
      <c r="C7" s="20" t="s">
        <v>51</v>
      </c>
      <c r="D7" s="20" t="s">
        <v>77</v>
      </c>
      <c r="E7" s="20" t="s">
        <v>64</v>
      </c>
      <c r="F7" s="28">
        <v>1.9</v>
      </c>
      <c r="G7" s="32">
        <v>2009</v>
      </c>
      <c r="I7" s="31">
        <f t="shared" si="0"/>
        <v>1.9</v>
      </c>
      <c r="J7" s="31">
        <f t="shared" si="0"/>
        <v>1.9</v>
      </c>
      <c r="K7" s="31">
        <f t="shared" si="0"/>
        <v>1.9</v>
      </c>
      <c r="L7" s="31">
        <f t="shared" si="0"/>
        <v>1.9</v>
      </c>
      <c r="M7" s="31">
        <f t="shared" si="0"/>
        <v>1.9</v>
      </c>
    </row>
    <row r="8" spans="1:13" ht="12.75">
      <c r="A8" s="24">
        <v>4</v>
      </c>
      <c r="B8" s="19" t="s">
        <v>446</v>
      </c>
      <c r="C8" s="20" t="s">
        <v>47</v>
      </c>
      <c r="D8" s="20" t="s">
        <v>93</v>
      </c>
      <c r="E8" s="20" t="s">
        <v>64</v>
      </c>
      <c r="F8" s="28">
        <v>1.25</v>
      </c>
      <c r="G8" s="32">
        <v>2009</v>
      </c>
      <c r="I8" s="31">
        <f t="shared" si="0"/>
        <v>1.25</v>
      </c>
      <c r="J8" s="31">
        <f t="shared" si="0"/>
        <v>1.25</v>
      </c>
      <c r="K8" s="31">
        <f t="shared" si="0"/>
        <v>1.25</v>
      </c>
      <c r="L8" s="31">
        <f t="shared" si="0"/>
        <v>1.25</v>
      </c>
      <c r="M8" s="31">
        <f t="shared" si="0"/>
        <v>1.25</v>
      </c>
    </row>
    <row r="9" spans="1:13" ht="12.75">
      <c r="A9" s="24">
        <v>5</v>
      </c>
      <c r="B9" s="19" t="s">
        <v>505</v>
      </c>
      <c r="C9" s="20" t="s">
        <v>52</v>
      </c>
      <c r="D9" s="20" t="s">
        <v>70</v>
      </c>
      <c r="E9" s="20" t="s">
        <v>64</v>
      </c>
      <c r="F9" s="28">
        <v>1.25</v>
      </c>
      <c r="G9" s="32">
        <v>2009</v>
      </c>
      <c r="I9" s="31">
        <f t="shared" si="0"/>
        <v>1.25</v>
      </c>
      <c r="J9" s="31">
        <f t="shared" si="0"/>
        <v>1.25</v>
      </c>
      <c r="K9" s="31">
        <f t="shared" si="0"/>
        <v>1.25</v>
      </c>
      <c r="L9" s="31">
        <f t="shared" si="0"/>
        <v>1.25</v>
      </c>
      <c r="M9" s="31">
        <f t="shared" si="0"/>
        <v>1.25</v>
      </c>
    </row>
    <row r="10" spans="1:13" ht="12.75">
      <c r="A10" s="24">
        <v>6</v>
      </c>
      <c r="B10" s="19" t="s">
        <v>506</v>
      </c>
      <c r="C10" s="20" t="s">
        <v>52</v>
      </c>
      <c r="D10" s="20" t="s">
        <v>113</v>
      </c>
      <c r="E10" s="20" t="s">
        <v>64</v>
      </c>
      <c r="F10" s="28">
        <v>1.25</v>
      </c>
      <c r="G10" s="32">
        <v>2009</v>
      </c>
      <c r="I10" s="31">
        <f t="shared" si="0"/>
        <v>1.25</v>
      </c>
      <c r="J10" s="31">
        <f t="shared" si="0"/>
        <v>1.25</v>
      </c>
      <c r="K10" s="31">
        <f t="shared" si="0"/>
        <v>1.25</v>
      </c>
      <c r="L10" s="31">
        <f t="shared" si="0"/>
        <v>1.25</v>
      </c>
      <c r="M10" s="31">
        <f t="shared" si="0"/>
        <v>1.25</v>
      </c>
    </row>
    <row r="11" spans="1:13" ht="12.75">
      <c r="A11" s="24">
        <v>7</v>
      </c>
      <c r="B11" s="19" t="s">
        <v>560</v>
      </c>
      <c r="C11" s="20" t="s">
        <v>49</v>
      </c>
      <c r="D11" s="20" t="s">
        <v>76</v>
      </c>
      <c r="E11" s="20" t="s">
        <v>64</v>
      </c>
      <c r="F11" s="33">
        <v>1.25</v>
      </c>
      <c r="G11" s="34">
        <v>2009</v>
      </c>
      <c r="I11" s="31">
        <f t="shared" si="0"/>
        <v>1.25</v>
      </c>
      <c r="J11" s="31">
        <f t="shared" si="0"/>
        <v>1.25</v>
      </c>
      <c r="K11" s="31">
        <f t="shared" si="0"/>
        <v>1.25</v>
      </c>
      <c r="L11" s="31">
        <f t="shared" si="0"/>
        <v>1.25</v>
      </c>
      <c r="M11" s="31">
        <f t="shared" si="0"/>
        <v>1.25</v>
      </c>
    </row>
    <row r="12" spans="1:13" ht="12.75">
      <c r="A12" s="24">
        <v>8</v>
      </c>
      <c r="B12" s="25" t="s">
        <v>347</v>
      </c>
      <c r="C12" s="20" t="s">
        <v>47</v>
      </c>
      <c r="D12" s="20" t="s">
        <v>80</v>
      </c>
      <c r="E12" s="26" t="s">
        <v>64</v>
      </c>
      <c r="F12" s="28">
        <v>7.8</v>
      </c>
      <c r="G12" s="32">
        <v>2008</v>
      </c>
      <c r="I12" s="31">
        <f t="shared" si="0"/>
        <v>7.8</v>
      </c>
      <c r="J12" s="31">
        <f t="shared" si="0"/>
        <v>7.8</v>
      </c>
      <c r="K12" s="31">
        <f t="shared" si="0"/>
        <v>7.8</v>
      </c>
      <c r="L12" s="31">
        <f t="shared" si="0"/>
        <v>7.8</v>
      </c>
      <c r="M12" s="31">
        <f t="shared" si="0"/>
        <v>0</v>
      </c>
    </row>
    <row r="13" spans="1:13" ht="12.75">
      <c r="A13" s="24">
        <v>9</v>
      </c>
      <c r="B13" s="25" t="s">
        <v>345</v>
      </c>
      <c r="C13" s="20" t="s">
        <v>49</v>
      </c>
      <c r="D13" s="20" t="s">
        <v>138</v>
      </c>
      <c r="E13" s="26" t="s">
        <v>64</v>
      </c>
      <c r="F13" s="28">
        <v>7.6</v>
      </c>
      <c r="G13" s="32">
        <v>2008</v>
      </c>
      <c r="I13" s="31">
        <f t="shared" si="0"/>
        <v>7.6</v>
      </c>
      <c r="J13" s="31">
        <f t="shared" si="0"/>
        <v>7.6</v>
      </c>
      <c r="K13" s="31">
        <f t="shared" si="0"/>
        <v>7.6</v>
      </c>
      <c r="L13" s="31">
        <f t="shared" si="0"/>
        <v>7.6</v>
      </c>
      <c r="M13" s="31">
        <f t="shared" si="0"/>
        <v>0</v>
      </c>
    </row>
    <row r="14" spans="1:13" ht="12.75">
      <c r="A14" s="24">
        <v>10</v>
      </c>
      <c r="B14" s="25" t="s">
        <v>248</v>
      </c>
      <c r="C14" s="20" t="s">
        <v>48</v>
      </c>
      <c r="D14" s="20" t="s">
        <v>108</v>
      </c>
      <c r="E14" s="26" t="s">
        <v>64</v>
      </c>
      <c r="F14" s="28">
        <v>3.3</v>
      </c>
      <c r="G14" s="32">
        <v>2008</v>
      </c>
      <c r="I14" s="31">
        <f t="shared" si="0"/>
        <v>3.3</v>
      </c>
      <c r="J14" s="31">
        <f t="shared" si="0"/>
        <v>3.3</v>
      </c>
      <c r="K14" s="31">
        <f t="shared" si="0"/>
        <v>3.3</v>
      </c>
      <c r="L14" s="31">
        <f t="shared" si="0"/>
        <v>3.3</v>
      </c>
      <c r="M14" s="31">
        <f t="shared" si="0"/>
        <v>0</v>
      </c>
    </row>
    <row r="15" spans="1:13" ht="12.75">
      <c r="A15" s="24">
        <v>11</v>
      </c>
      <c r="B15" s="19" t="s">
        <v>250</v>
      </c>
      <c r="C15" s="20" t="s">
        <v>49</v>
      </c>
      <c r="D15" s="20" t="s">
        <v>110</v>
      </c>
      <c r="E15" s="26" t="s">
        <v>64</v>
      </c>
      <c r="F15" s="28">
        <v>1.1</v>
      </c>
      <c r="G15" s="32">
        <v>2008</v>
      </c>
      <c r="I15" s="31">
        <f aca="true" t="shared" si="1" ref="I15:M29">+IF($G15&gt;=I$3,$F15,0)</f>
        <v>1.1</v>
      </c>
      <c r="J15" s="31">
        <f t="shared" si="1"/>
        <v>1.1</v>
      </c>
      <c r="K15" s="31">
        <f t="shared" si="1"/>
        <v>1.1</v>
      </c>
      <c r="L15" s="31">
        <f t="shared" si="1"/>
        <v>1.1</v>
      </c>
      <c r="M15" s="31">
        <f t="shared" si="1"/>
        <v>0</v>
      </c>
    </row>
    <row r="16" spans="1:13" ht="12.75">
      <c r="A16" s="24">
        <v>12</v>
      </c>
      <c r="B16" s="25" t="s">
        <v>372</v>
      </c>
      <c r="C16" s="20" t="s">
        <v>48</v>
      </c>
      <c r="D16" s="20" t="s">
        <v>78</v>
      </c>
      <c r="E16" s="26" t="s">
        <v>64</v>
      </c>
      <c r="F16" s="28">
        <v>1.1</v>
      </c>
      <c r="G16" s="32">
        <v>2008</v>
      </c>
      <c r="I16" s="31">
        <f t="shared" si="1"/>
        <v>1.1</v>
      </c>
      <c r="J16" s="31">
        <f t="shared" si="1"/>
        <v>1.1</v>
      </c>
      <c r="K16" s="31">
        <f t="shared" si="1"/>
        <v>1.1</v>
      </c>
      <c r="L16" s="31">
        <f t="shared" si="1"/>
        <v>1.1</v>
      </c>
      <c r="M16" s="31">
        <f t="shared" si="1"/>
        <v>0</v>
      </c>
    </row>
    <row r="17" spans="1:13" ht="12.75">
      <c r="A17" s="24">
        <v>13</v>
      </c>
      <c r="B17" s="25" t="s">
        <v>184</v>
      </c>
      <c r="C17" s="20" t="s">
        <v>48</v>
      </c>
      <c r="D17" s="20" t="s">
        <v>153</v>
      </c>
      <c r="E17" s="26" t="s">
        <v>64</v>
      </c>
      <c r="F17" s="28">
        <v>1.1</v>
      </c>
      <c r="G17" s="32">
        <v>2008</v>
      </c>
      <c r="I17" s="31">
        <f t="shared" si="1"/>
        <v>1.1</v>
      </c>
      <c r="J17" s="31">
        <f t="shared" si="1"/>
        <v>1.1</v>
      </c>
      <c r="K17" s="31">
        <f t="shared" si="1"/>
        <v>1.1</v>
      </c>
      <c r="L17" s="31">
        <f t="shared" si="1"/>
        <v>1.1</v>
      </c>
      <c r="M17" s="31">
        <f t="shared" si="1"/>
        <v>0</v>
      </c>
    </row>
    <row r="18" spans="1:13" ht="12.75">
      <c r="A18" s="24">
        <v>14</v>
      </c>
      <c r="B18" s="25" t="s">
        <v>238</v>
      </c>
      <c r="C18" s="20" t="s">
        <v>48</v>
      </c>
      <c r="D18" s="20" t="s">
        <v>156</v>
      </c>
      <c r="E18" s="26" t="s">
        <v>64</v>
      </c>
      <c r="F18" s="28">
        <v>12.9</v>
      </c>
      <c r="G18" s="32">
        <v>2007</v>
      </c>
      <c r="I18" s="31">
        <f t="shared" si="1"/>
        <v>12.9</v>
      </c>
      <c r="J18" s="31">
        <f t="shared" si="1"/>
        <v>12.9</v>
      </c>
      <c r="K18" s="31">
        <f t="shared" si="1"/>
        <v>12.9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19" t="s">
        <v>265</v>
      </c>
      <c r="C19" s="20" t="s">
        <v>48</v>
      </c>
      <c r="D19" s="20" t="s">
        <v>223</v>
      </c>
      <c r="E19" s="20" t="s">
        <v>64</v>
      </c>
      <c r="F19" s="33">
        <v>9.35</v>
      </c>
      <c r="G19" s="34">
        <v>2007</v>
      </c>
      <c r="I19" s="31">
        <f t="shared" si="1"/>
        <v>9.35</v>
      </c>
      <c r="J19" s="31">
        <f t="shared" si="1"/>
        <v>9.35</v>
      </c>
      <c r="K19" s="31">
        <f t="shared" si="1"/>
        <v>9.35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240</v>
      </c>
      <c r="C20" s="20" t="s">
        <v>49</v>
      </c>
      <c r="D20" s="20" t="s">
        <v>93</v>
      </c>
      <c r="E20" s="26" t="s">
        <v>64</v>
      </c>
      <c r="F20" s="28">
        <v>4.15</v>
      </c>
      <c r="G20" s="32">
        <v>2007</v>
      </c>
      <c r="I20" s="31">
        <f t="shared" si="1"/>
        <v>4.15</v>
      </c>
      <c r="J20" s="31">
        <f t="shared" si="1"/>
        <v>4.15</v>
      </c>
      <c r="K20" s="31">
        <f t="shared" si="1"/>
        <v>4.15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25" t="s">
        <v>242</v>
      </c>
      <c r="C21" s="20" t="s">
        <v>49</v>
      </c>
      <c r="D21" s="20" t="s">
        <v>80</v>
      </c>
      <c r="E21" s="26" t="s">
        <v>64</v>
      </c>
      <c r="F21" s="28">
        <v>1</v>
      </c>
      <c r="G21" s="32">
        <v>2007</v>
      </c>
      <c r="I21" s="31">
        <f t="shared" si="1"/>
        <v>1</v>
      </c>
      <c r="J21" s="31">
        <f t="shared" si="1"/>
        <v>1</v>
      </c>
      <c r="K21" s="31">
        <f t="shared" si="1"/>
        <v>1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19" t="s">
        <v>243</v>
      </c>
      <c r="C22" s="20" t="s">
        <v>49</v>
      </c>
      <c r="D22" s="20" t="s">
        <v>108</v>
      </c>
      <c r="E22" s="20" t="s">
        <v>64</v>
      </c>
      <c r="F22" s="33">
        <v>1</v>
      </c>
      <c r="G22" s="34">
        <v>2007</v>
      </c>
      <c r="I22" s="31">
        <f t="shared" si="1"/>
        <v>1</v>
      </c>
      <c r="J22" s="31">
        <f t="shared" si="1"/>
        <v>1</v>
      </c>
      <c r="K22" s="31">
        <f t="shared" si="1"/>
        <v>1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19" t="s">
        <v>244</v>
      </c>
      <c r="C23" s="20" t="s">
        <v>48</v>
      </c>
      <c r="D23" s="20" t="s">
        <v>223</v>
      </c>
      <c r="E23" s="20" t="s">
        <v>64</v>
      </c>
      <c r="F23" s="33">
        <v>1</v>
      </c>
      <c r="G23" s="34">
        <v>2007</v>
      </c>
      <c r="I23" s="31">
        <f t="shared" si="1"/>
        <v>1</v>
      </c>
      <c r="J23" s="31">
        <f t="shared" si="1"/>
        <v>1</v>
      </c>
      <c r="K23" s="31">
        <f t="shared" si="1"/>
        <v>1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19" t="s">
        <v>410</v>
      </c>
      <c r="C24" s="20" t="s">
        <v>47</v>
      </c>
      <c r="D24" s="20" t="s">
        <v>93</v>
      </c>
      <c r="E24" s="26" t="s">
        <v>402</v>
      </c>
      <c r="F24" s="28">
        <v>28.2</v>
      </c>
      <c r="G24" s="32">
        <v>2005</v>
      </c>
      <c r="I24" s="31">
        <f t="shared" si="1"/>
        <v>28.2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25" t="s">
        <v>111</v>
      </c>
      <c r="C25" s="20" t="s">
        <v>50</v>
      </c>
      <c r="D25" s="20" t="s">
        <v>100</v>
      </c>
      <c r="E25" s="26" t="s">
        <v>64</v>
      </c>
      <c r="F25" s="28">
        <v>11.6</v>
      </c>
      <c r="G25" s="32">
        <v>2005</v>
      </c>
      <c r="I25" s="31">
        <f t="shared" si="1"/>
        <v>11.6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19" t="s">
        <v>479</v>
      </c>
      <c r="C26" s="20" t="s">
        <v>52</v>
      </c>
      <c r="D26" s="20" t="s">
        <v>146</v>
      </c>
      <c r="E26" s="20" t="s">
        <v>64</v>
      </c>
      <c r="F26" s="33">
        <v>6.05</v>
      </c>
      <c r="G26" s="34">
        <v>2005</v>
      </c>
      <c r="I26" s="31">
        <f t="shared" si="1"/>
        <v>6.05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19" t="s">
        <v>559</v>
      </c>
      <c r="C27" s="20" t="s">
        <v>52</v>
      </c>
      <c r="D27" s="20" t="s">
        <v>68</v>
      </c>
      <c r="E27" s="20" t="s">
        <v>64</v>
      </c>
      <c r="F27" s="28">
        <v>1.25</v>
      </c>
      <c r="G27" s="32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246</v>
      </c>
      <c r="C28" s="20" t="s">
        <v>53</v>
      </c>
      <c r="D28" s="20" t="s">
        <v>138</v>
      </c>
      <c r="E28" s="20" t="s">
        <v>64</v>
      </c>
      <c r="F28" s="33">
        <v>1</v>
      </c>
      <c r="G28" s="34">
        <v>2005</v>
      </c>
      <c r="I28" s="31">
        <f t="shared" si="1"/>
        <v>1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19" t="s">
        <v>247</v>
      </c>
      <c r="C29" s="20" t="s">
        <v>53</v>
      </c>
      <c r="D29" s="20" t="s">
        <v>223</v>
      </c>
      <c r="E29" s="20" t="s">
        <v>64</v>
      </c>
      <c r="F29" s="33">
        <v>1</v>
      </c>
      <c r="G29" s="34">
        <v>2005</v>
      </c>
      <c r="I29" s="31">
        <f t="shared" si="1"/>
        <v>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9:13" ht="12.75">
      <c r="I31" s="36">
        <f>+SUM(I5:I29)</f>
        <v>119.8</v>
      </c>
      <c r="J31" s="36">
        <f>+SUM(J5:J29)</f>
        <v>70.7</v>
      </c>
      <c r="K31" s="36">
        <f>+SUM(K5:K29)</f>
        <v>70.7</v>
      </c>
      <c r="L31" s="36">
        <f>+SUM(L5:L29)</f>
        <v>41.3</v>
      </c>
      <c r="M31" s="36">
        <f>+SUM(M5:M29)</f>
        <v>19.299999999999997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19" t="s">
        <v>241</v>
      </c>
      <c r="C37" s="20" t="s">
        <v>48</v>
      </c>
      <c r="D37" s="20" t="s">
        <v>66</v>
      </c>
      <c r="E37" s="20">
        <v>2004</v>
      </c>
      <c r="F37" s="33">
        <v>1.75</v>
      </c>
      <c r="G37" s="34">
        <v>2007</v>
      </c>
      <c r="I37" s="31">
        <f aca="true" t="shared" si="2" ref="I37:I48">+CEILING(IF($I$35=E37,F37,IF($I$35&lt;=G37,F37*0.3,0)),0.05)</f>
        <v>0.55</v>
      </c>
      <c r="J37" s="31">
        <f aca="true" t="shared" si="3" ref="J37:J48">+CEILING(IF($J$35&lt;=G37,F37*0.3,0),0.05)</f>
        <v>0.55</v>
      </c>
      <c r="K37" s="31">
        <f aca="true" t="shared" si="4" ref="K37:K48">+CEILING(IF($K$35&lt;=G37,F37*0.3,0),0.05)</f>
        <v>0.55</v>
      </c>
      <c r="L37" s="31">
        <f aca="true" t="shared" si="5" ref="L37:L48">+CEILING(IF($L$35&lt;=G37,F37*0.3,0),0.05)</f>
        <v>0</v>
      </c>
      <c r="M37" s="31">
        <f aca="true" t="shared" si="6" ref="M37:M48">CEILING(IF($M$35&lt;=G37,F37*0.3,0),0.05)</f>
        <v>0</v>
      </c>
    </row>
    <row r="38" spans="1:13" ht="12.75">
      <c r="A38" s="24">
        <v>2</v>
      </c>
      <c r="B38" s="25" t="s">
        <v>140</v>
      </c>
      <c r="C38" s="20" t="s">
        <v>49</v>
      </c>
      <c r="D38" s="20" t="s">
        <v>84</v>
      </c>
      <c r="E38" s="26">
        <v>2003</v>
      </c>
      <c r="F38" s="28">
        <v>14.6</v>
      </c>
      <c r="G38" s="32">
        <v>2006</v>
      </c>
      <c r="I38" s="31">
        <f t="shared" si="2"/>
        <v>4.4</v>
      </c>
      <c r="J38" s="31">
        <f t="shared" si="3"/>
        <v>4.4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4">
        <v>3</v>
      </c>
      <c r="B39" s="25" t="s">
        <v>245</v>
      </c>
      <c r="C39" s="20" t="s">
        <v>49</v>
      </c>
      <c r="D39" s="20" t="s">
        <v>118</v>
      </c>
      <c r="E39" s="26">
        <v>2004</v>
      </c>
      <c r="F39" s="28">
        <v>3.9</v>
      </c>
      <c r="G39" s="32">
        <v>2006</v>
      </c>
      <c r="I39" s="31">
        <f t="shared" si="2"/>
        <v>1.2000000000000002</v>
      </c>
      <c r="J39" s="31">
        <f t="shared" si="3"/>
        <v>1.2000000000000002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B40" s="25" t="s">
        <v>251</v>
      </c>
      <c r="C40" s="20" t="s">
        <v>48</v>
      </c>
      <c r="D40" s="20" t="s">
        <v>106</v>
      </c>
      <c r="E40" s="26">
        <v>2003</v>
      </c>
      <c r="F40" s="28">
        <v>9.95</v>
      </c>
      <c r="G40" s="32">
        <v>2005</v>
      </c>
      <c r="I40" s="31">
        <f t="shared" si="2"/>
        <v>3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B41" s="25"/>
      <c r="D41" s="20"/>
      <c r="E41" s="26"/>
      <c r="F41" s="28"/>
      <c r="G41" s="32"/>
      <c r="I41" s="31">
        <f t="shared" si="2"/>
        <v>0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25"/>
      <c r="D42" s="20"/>
      <c r="E42" s="26"/>
      <c r="F42" s="28"/>
      <c r="G42" s="32"/>
      <c r="I42" s="31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D43" s="20"/>
      <c r="E43" s="20"/>
      <c r="F43" s="33"/>
      <c r="G43" s="34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B44" s="25"/>
      <c r="D44" s="20"/>
      <c r="E44" s="26"/>
      <c r="F44" s="28"/>
      <c r="G44" s="32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4">
        <v>9</v>
      </c>
      <c r="D45" s="20"/>
      <c r="E45" s="20"/>
      <c r="F45" s="33"/>
      <c r="G45" s="34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4">
        <v>10</v>
      </c>
      <c r="B46" s="25"/>
      <c r="D46" s="20"/>
      <c r="E46" s="26"/>
      <c r="F46" s="28"/>
      <c r="G46" s="32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1:13" ht="12.75">
      <c r="A47" s="24">
        <v>11</v>
      </c>
      <c r="B47" s="25"/>
      <c r="D47" s="20"/>
      <c r="E47" s="26"/>
      <c r="F47" s="28"/>
      <c r="G47" s="32"/>
      <c r="I47" s="31">
        <f t="shared" si="2"/>
        <v>0</v>
      </c>
      <c r="J47" s="31">
        <f t="shared" si="3"/>
        <v>0</v>
      </c>
      <c r="K47" s="31">
        <f t="shared" si="4"/>
        <v>0</v>
      </c>
      <c r="L47" s="31">
        <f t="shared" si="5"/>
        <v>0</v>
      </c>
      <c r="M47" s="31">
        <f t="shared" si="6"/>
        <v>0</v>
      </c>
    </row>
    <row r="48" spans="1:13" ht="12.75">
      <c r="A48" s="24">
        <v>12</v>
      </c>
      <c r="D48" s="20"/>
      <c r="E48" s="20"/>
      <c r="F48" s="33"/>
      <c r="G48" s="34"/>
      <c r="I48" s="31">
        <f t="shared" si="2"/>
        <v>0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9:13" ht="7.5" customHeight="1">
      <c r="I49" s="25"/>
      <c r="J49" s="25"/>
      <c r="K49" s="25"/>
      <c r="L49" s="25"/>
      <c r="M49" s="25"/>
    </row>
    <row r="50" spans="9:13" ht="12.75">
      <c r="I50" s="36">
        <f>+SUM(I37:I49)</f>
        <v>9.15</v>
      </c>
      <c r="J50" s="36">
        <f>+SUM(J37:J49)</f>
        <v>6.15</v>
      </c>
      <c r="K50" s="36">
        <f>+SUM(K37:K49)</f>
        <v>0.55</v>
      </c>
      <c r="L50" s="36">
        <f>+SUM(L37:L49)</f>
        <v>0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50" t="s">
        <v>87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9:13" ht="7.5" customHeight="1">
      <c r="I53" s="37"/>
      <c r="J53" s="37"/>
      <c r="K53" s="37"/>
      <c r="L53" s="37"/>
      <c r="M53" s="37"/>
    </row>
    <row r="54" spans="1:13" ht="12.75">
      <c r="A54" s="24"/>
      <c r="B54" s="21" t="s">
        <v>88</v>
      </c>
      <c r="C54" s="22"/>
      <c r="D54" s="22"/>
      <c r="E54" s="22"/>
      <c r="F54" s="22" t="s">
        <v>89</v>
      </c>
      <c r="G54" s="22" t="s">
        <v>27</v>
      </c>
      <c r="I54" s="23">
        <f>+I$3</f>
        <v>2005</v>
      </c>
      <c r="J54" s="23">
        <f>+J$3</f>
        <v>2006</v>
      </c>
      <c r="K54" s="23">
        <f>+K$3</f>
        <v>2007</v>
      </c>
      <c r="L54" s="23">
        <f>+L$3</f>
        <v>2008</v>
      </c>
      <c r="M54" s="23">
        <f>+M$3</f>
        <v>2009</v>
      </c>
    </row>
    <row r="55" spans="1:13" ht="7.5" customHeight="1">
      <c r="A55" s="24"/>
      <c r="I55" s="38"/>
      <c r="J55" s="38"/>
      <c r="K55" s="38"/>
      <c r="L55" s="38"/>
      <c r="M55" s="38"/>
    </row>
    <row r="56" spans="1:13" ht="12.75">
      <c r="A56" s="24">
        <v>1</v>
      </c>
      <c r="B56" s="48"/>
      <c r="C56" s="48"/>
      <c r="D56" s="48"/>
      <c r="E56" s="48"/>
      <c r="F56" s="27"/>
      <c r="G56" s="20"/>
      <c r="I56" s="42">
        <v>0</v>
      </c>
      <c r="J56" s="42">
        <v>0</v>
      </c>
      <c r="K56" s="42">
        <v>0</v>
      </c>
      <c r="L56" s="42">
        <v>0</v>
      </c>
      <c r="M56" s="42">
        <v>0</v>
      </c>
    </row>
    <row r="57" spans="1:13" ht="12.75">
      <c r="A57" s="24">
        <v>2</v>
      </c>
      <c r="B57" s="48"/>
      <c r="C57" s="48"/>
      <c r="D57" s="48"/>
      <c r="E57" s="48"/>
      <c r="I57" s="38"/>
      <c r="J57" s="38"/>
      <c r="K57" s="38"/>
      <c r="L57" s="38"/>
      <c r="M57" s="38"/>
    </row>
    <row r="58" spans="1:13" ht="7.5" customHeight="1">
      <c r="A58" s="24"/>
      <c r="I58" s="38"/>
      <c r="J58" s="38"/>
      <c r="K58" s="38"/>
      <c r="L58" s="38"/>
      <c r="M58" s="38"/>
    </row>
    <row r="59" spans="1:13" ht="12.75">
      <c r="A59" s="24"/>
      <c r="I59" s="35">
        <f>+SUM(I56:I58)</f>
        <v>0</v>
      </c>
      <c r="J59" s="35">
        <f>+SUM(J56:J58)</f>
        <v>0</v>
      </c>
      <c r="K59" s="35">
        <f>+SUM(K56:K58)</f>
        <v>0</v>
      </c>
      <c r="L59" s="35">
        <f>+SUM(L56:L58)</f>
        <v>0</v>
      </c>
      <c r="M59" s="35">
        <f>+SUM(M56:M58)</f>
        <v>0</v>
      </c>
    </row>
  </sheetData>
  <sheetProtection/>
  <mergeCells count="5">
    <mergeCell ref="B56:E56"/>
    <mergeCell ref="B57:E57"/>
    <mergeCell ref="A1:M1"/>
    <mergeCell ref="A33:M33"/>
    <mergeCell ref="A52:M5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44" t="s">
        <v>427</v>
      </c>
      <c r="C5" s="20" t="s">
        <v>49</v>
      </c>
      <c r="D5" s="20" t="s">
        <v>73</v>
      </c>
      <c r="E5" s="26" t="s">
        <v>64</v>
      </c>
      <c r="F5" s="28">
        <v>3.05</v>
      </c>
      <c r="G5" s="32">
        <v>2009</v>
      </c>
      <c r="I5" s="31">
        <f aca="true" t="shared" si="0" ref="I5:M14">+IF($G5&gt;=I$3,$F5,0)</f>
        <v>3.05</v>
      </c>
      <c r="J5" s="31">
        <f t="shared" si="0"/>
        <v>3.05</v>
      </c>
      <c r="K5" s="31">
        <f t="shared" si="0"/>
        <v>3.05</v>
      </c>
      <c r="L5" s="31">
        <f t="shared" si="0"/>
        <v>3.05</v>
      </c>
      <c r="M5" s="31">
        <f t="shared" si="0"/>
        <v>3.05</v>
      </c>
    </row>
    <row r="6" spans="1:13" ht="12.75">
      <c r="A6" s="24">
        <v>2</v>
      </c>
      <c r="B6" s="44" t="s">
        <v>540</v>
      </c>
      <c r="C6" s="20" t="s">
        <v>53</v>
      </c>
      <c r="D6" s="20" t="s">
        <v>80</v>
      </c>
      <c r="E6" s="26" t="s">
        <v>64</v>
      </c>
      <c r="F6" s="28">
        <v>2.5</v>
      </c>
      <c r="G6" s="32">
        <v>2009</v>
      </c>
      <c r="I6" s="31">
        <f t="shared" si="0"/>
        <v>2.5</v>
      </c>
      <c r="J6" s="31">
        <f t="shared" si="0"/>
        <v>2.5</v>
      </c>
      <c r="K6" s="31">
        <f t="shared" si="0"/>
        <v>2.5</v>
      </c>
      <c r="L6" s="31">
        <f t="shared" si="0"/>
        <v>2.5</v>
      </c>
      <c r="M6" s="31">
        <f t="shared" si="0"/>
        <v>2.5</v>
      </c>
    </row>
    <row r="7" spans="1:13" ht="12.75">
      <c r="A7" s="24">
        <v>3</v>
      </c>
      <c r="B7" s="44" t="s">
        <v>445</v>
      </c>
      <c r="C7" s="20" t="s">
        <v>52</v>
      </c>
      <c r="D7" s="20" t="s">
        <v>76</v>
      </c>
      <c r="E7" s="26" t="s">
        <v>64</v>
      </c>
      <c r="F7" s="28">
        <v>1.25</v>
      </c>
      <c r="G7" s="30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1.25</v>
      </c>
    </row>
    <row r="8" spans="1:13" ht="12.75">
      <c r="A8" s="24">
        <v>4</v>
      </c>
      <c r="B8" s="44" t="s">
        <v>452</v>
      </c>
      <c r="C8" s="20" t="s">
        <v>49</v>
      </c>
      <c r="D8" s="20" t="s">
        <v>128</v>
      </c>
      <c r="E8" s="26" t="s">
        <v>64</v>
      </c>
      <c r="F8" s="28">
        <v>1.25</v>
      </c>
      <c r="G8" s="32">
        <v>2009</v>
      </c>
      <c r="I8" s="31">
        <f t="shared" si="0"/>
        <v>1.25</v>
      </c>
      <c r="J8" s="31">
        <f t="shared" si="0"/>
        <v>1.25</v>
      </c>
      <c r="K8" s="31">
        <f t="shared" si="0"/>
        <v>1.25</v>
      </c>
      <c r="L8" s="31">
        <f t="shared" si="0"/>
        <v>1.25</v>
      </c>
      <c r="M8" s="31">
        <f t="shared" si="0"/>
        <v>1.25</v>
      </c>
    </row>
    <row r="9" spans="1:13" ht="12.75">
      <c r="A9" s="24">
        <v>5</v>
      </c>
      <c r="B9" s="19" t="s">
        <v>279</v>
      </c>
      <c r="C9" s="20" t="s">
        <v>49</v>
      </c>
      <c r="D9" s="20" t="s">
        <v>93</v>
      </c>
      <c r="E9" s="26" t="s">
        <v>64</v>
      </c>
      <c r="F9" s="28">
        <v>11.1</v>
      </c>
      <c r="G9" s="30">
        <v>2008</v>
      </c>
      <c r="I9" s="31">
        <f t="shared" si="0"/>
        <v>11.1</v>
      </c>
      <c r="J9" s="31">
        <f t="shared" si="0"/>
        <v>11.1</v>
      </c>
      <c r="K9" s="31">
        <f t="shared" si="0"/>
        <v>11.1</v>
      </c>
      <c r="L9" s="31">
        <f t="shared" si="0"/>
        <v>11.1</v>
      </c>
      <c r="M9" s="31">
        <f t="shared" si="0"/>
        <v>0</v>
      </c>
    </row>
    <row r="10" spans="1:13" ht="12.75">
      <c r="A10" s="24">
        <v>6</v>
      </c>
      <c r="B10" s="44" t="s">
        <v>262</v>
      </c>
      <c r="C10" s="20" t="s">
        <v>53</v>
      </c>
      <c r="D10" s="20" t="s">
        <v>116</v>
      </c>
      <c r="E10" s="26" t="s">
        <v>64</v>
      </c>
      <c r="F10" s="28">
        <v>1.1</v>
      </c>
      <c r="G10" s="32">
        <v>2008</v>
      </c>
      <c r="I10" s="31">
        <f t="shared" si="0"/>
        <v>1.1</v>
      </c>
      <c r="J10" s="31">
        <f t="shared" si="0"/>
        <v>1.1</v>
      </c>
      <c r="K10" s="31">
        <f t="shared" si="0"/>
        <v>1.1</v>
      </c>
      <c r="L10" s="31">
        <f t="shared" si="0"/>
        <v>1.1</v>
      </c>
      <c r="M10" s="31">
        <f t="shared" si="0"/>
        <v>0</v>
      </c>
    </row>
    <row r="11" spans="1:13" ht="12.75">
      <c r="A11" s="24">
        <v>7</v>
      </c>
      <c r="B11" s="44" t="s">
        <v>252</v>
      </c>
      <c r="C11" s="20" t="s">
        <v>52</v>
      </c>
      <c r="D11" s="20" t="s">
        <v>128</v>
      </c>
      <c r="E11" s="26" t="s">
        <v>64</v>
      </c>
      <c r="F11" s="28">
        <v>3.25</v>
      </c>
      <c r="G11" s="32">
        <v>2007</v>
      </c>
      <c r="I11" s="31">
        <f t="shared" si="0"/>
        <v>3.25</v>
      </c>
      <c r="J11" s="31">
        <f t="shared" si="0"/>
        <v>3.25</v>
      </c>
      <c r="K11" s="31">
        <f t="shared" si="0"/>
        <v>3.25</v>
      </c>
      <c r="L11" s="31">
        <f t="shared" si="0"/>
        <v>0</v>
      </c>
      <c r="M11" s="31">
        <f t="shared" si="0"/>
        <v>0</v>
      </c>
    </row>
    <row r="12" spans="1:13" ht="12.75">
      <c r="A12" s="24">
        <v>8</v>
      </c>
      <c r="B12" s="25" t="s">
        <v>270</v>
      </c>
      <c r="C12" s="20" t="s">
        <v>47</v>
      </c>
      <c r="D12" s="20" t="s">
        <v>138</v>
      </c>
      <c r="E12" s="26" t="s">
        <v>64</v>
      </c>
      <c r="F12" s="28">
        <v>1</v>
      </c>
      <c r="G12" s="32">
        <v>2007</v>
      </c>
      <c r="I12" s="31">
        <f t="shared" si="0"/>
        <v>1</v>
      </c>
      <c r="J12" s="31">
        <f t="shared" si="0"/>
        <v>1</v>
      </c>
      <c r="K12" s="31">
        <f t="shared" si="0"/>
        <v>1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44" t="s">
        <v>256</v>
      </c>
      <c r="C13" s="20" t="s">
        <v>47</v>
      </c>
      <c r="D13" s="20" t="s">
        <v>78</v>
      </c>
      <c r="E13" s="26" t="s">
        <v>64</v>
      </c>
      <c r="F13" s="28">
        <v>9.3</v>
      </c>
      <c r="G13" s="32">
        <v>2006</v>
      </c>
      <c r="I13" s="31">
        <f t="shared" si="0"/>
        <v>9.3</v>
      </c>
      <c r="J13" s="31">
        <f t="shared" si="0"/>
        <v>9.3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25" t="s">
        <v>257</v>
      </c>
      <c r="C14" s="20" t="s">
        <v>49</v>
      </c>
      <c r="D14" s="20" t="s">
        <v>128</v>
      </c>
      <c r="E14" s="26" t="s">
        <v>64</v>
      </c>
      <c r="F14" s="28">
        <v>1.25</v>
      </c>
      <c r="G14" s="32">
        <v>2006</v>
      </c>
      <c r="I14" s="31">
        <f t="shared" si="0"/>
        <v>1.25</v>
      </c>
      <c r="J14" s="31">
        <f t="shared" si="0"/>
        <v>1.25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44" t="s">
        <v>554</v>
      </c>
      <c r="C15" s="20" t="s">
        <v>52</v>
      </c>
      <c r="D15" s="20" t="s">
        <v>84</v>
      </c>
      <c r="E15" s="26" t="s">
        <v>64</v>
      </c>
      <c r="F15" s="28">
        <v>1.25</v>
      </c>
      <c r="G15" s="32">
        <v>2006</v>
      </c>
      <c r="I15" s="31">
        <f aca="true" t="shared" si="1" ref="I15:M29">+IF($G15&gt;=I$3,$F15,0)</f>
        <v>1.25</v>
      </c>
      <c r="J15" s="31">
        <f t="shared" si="1"/>
        <v>1.25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19" t="s">
        <v>411</v>
      </c>
      <c r="C16" s="20" t="s">
        <v>48</v>
      </c>
      <c r="D16" s="20" t="s">
        <v>113</v>
      </c>
      <c r="E16" s="26" t="s">
        <v>402</v>
      </c>
      <c r="F16" s="28">
        <v>34.2</v>
      </c>
      <c r="G16" s="32">
        <v>2005</v>
      </c>
      <c r="I16" s="31">
        <f t="shared" si="1"/>
        <v>34.2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44" t="s">
        <v>258</v>
      </c>
      <c r="C17" s="20" t="s">
        <v>48</v>
      </c>
      <c r="D17" s="20" t="s">
        <v>118</v>
      </c>
      <c r="E17" s="26" t="s">
        <v>64</v>
      </c>
      <c r="F17" s="28">
        <v>5.5</v>
      </c>
      <c r="G17" s="32">
        <v>2005</v>
      </c>
      <c r="I17" s="31">
        <f t="shared" si="1"/>
        <v>5.5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44" t="s">
        <v>260</v>
      </c>
      <c r="C18" s="20" t="s">
        <v>52</v>
      </c>
      <c r="D18" s="20" t="s">
        <v>72</v>
      </c>
      <c r="E18" s="26" t="s">
        <v>64</v>
      </c>
      <c r="F18" s="28">
        <v>3.4</v>
      </c>
      <c r="G18" s="32">
        <v>2005</v>
      </c>
      <c r="I18" s="31">
        <f t="shared" si="1"/>
        <v>3.4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44" t="s">
        <v>555</v>
      </c>
      <c r="C19" s="20" t="s">
        <v>52</v>
      </c>
      <c r="D19" s="20" t="s">
        <v>108</v>
      </c>
      <c r="E19" s="26" t="s">
        <v>64</v>
      </c>
      <c r="F19" s="28">
        <v>2.05</v>
      </c>
      <c r="G19" s="32">
        <v>2005</v>
      </c>
      <c r="I19" s="31">
        <f t="shared" si="1"/>
        <v>2.05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19" t="s">
        <v>698</v>
      </c>
      <c r="C20" s="20" t="s">
        <v>50</v>
      </c>
      <c r="D20" s="20" t="s">
        <v>223</v>
      </c>
      <c r="E20" s="26" t="s">
        <v>64</v>
      </c>
      <c r="F20" s="28">
        <v>1.25</v>
      </c>
      <c r="G20" s="32">
        <v>2005</v>
      </c>
      <c r="I20" s="31">
        <f t="shared" si="1"/>
        <v>1.25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44" t="s">
        <v>671</v>
      </c>
      <c r="C21" s="20" t="s">
        <v>53</v>
      </c>
      <c r="D21" s="20" t="s">
        <v>66</v>
      </c>
      <c r="E21" s="26" t="s">
        <v>64</v>
      </c>
      <c r="F21" s="28">
        <v>1.25</v>
      </c>
      <c r="G21" s="32">
        <v>2005</v>
      </c>
      <c r="I21" s="31">
        <f t="shared" si="1"/>
        <v>1.25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44" t="s">
        <v>660</v>
      </c>
      <c r="C22" s="20" t="s">
        <v>49</v>
      </c>
      <c r="D22" s="20" t="s">
        <v>146</v>
      </c>
      <c r="E22" s="26" t="s">
        <v>64</v>
      </c>
      <c r="F22" s="28">
        <v>1.25</v>
      </c>
      <c r="G22" s="32">
        <v>2005</v>
      </c>
      <c r="I22" s="31">
        <f t="shared" si="1"/>
        <v>1.25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43" t="s">
        <v>588</v>
      </c>
      <c r="C23" s="20" t="s">
        <v>51</v>
      </c>
      <c r="D23" s="20" t="s">
        <v>76</v>
      </c>
      <c r="E23" s="26" t="s">
        <v>64</v>
      </c>
      <c r="F23" s="28">
        <v>1.25</v>
      </c>
      <c r="G23" s="32">
        <v>2005</v>
      </c>
      <c r="I23" s="31">
        <f t="shared" si="1"/>
        <v>1.25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44" t="s">
        <v>590</v>
      </c>
      <c r="C24" s="20" t="s">
        <v>53</v>
      </c>
      <c r="D24" s="20" t="s">
        <v>73</v>
      </c>
      <c r="E24" s="26" t="s">
        <v>64</v>
      </c>
      <c r="F24" s="28">
        <v>1.25</v>
      </c>
      <c r="G24" s="32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43" t="s">
        <v>670</v>
      </c>
      <c r="C25" s="20" t="s">
        <v>47</v>
      </c>
      <c r="D25" s="20" t="s">
        <v>156</v>
      </c>
      <c r="E25" s="26" t="s">
        <v>64</v>
      </c>
      <c r="F25" s="28">
        <v>1.25</v>
      </c>
      <c r="G25" s="32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43" t="s">
        <v>592</v>
      </c>
      <c r="C26" s="20" t="s">
        <v>51</v>
      </c>
      <c r="D26" s="20" t="s">
        <v>95</v>
      </c>
      <c r="E26" s="20" t="s">
        <v>64</v>
      </c>
      <c r="F26" s="33">
        <v>1.25</v>
      </c>
      <c r="G26" s="34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43" t="s">
        <v>661</v>
      </c>
      <c r="C27" s="20" t="s">
        <v>49</v>
      </c>
      <c r="D27" s="20" t="s">
        <v>113</v>
      </c>
      <c r="E27" s="20" t="s">
        <v>64</v>
      </c>
      <c r="F27" s="33">
        <v>1.25</v>
      </c>
      <c r="G27" s="34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606</v>
      </c>
      <c r="C28" s="20" t="s">
        <v>49</v>
      </c>
      <c r="D28" s="20" t="s">
        <v>91</v>
      </c>
      <c r="E28" s="20" t="s">
        <v>64</v>
      </c>
      <c r="F28" s="33">
        <v>1.25</v>
      </c>
      <c r="G28" s="34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43" t="s">
        <v>636</v>
      </c>
      <c r="C29" s="20" t="s">
        <v>48</v>
      </c>
      <c r="D29" s="20" t="s">
        <v>169</v>
      </c>
      <c r="E29" s="20" t="s">
        <v>64</v>
      </c>
      <c r="F29" s="33">
        <v>1.25</v>
      </c>
      <c r="G29" s="34">
        <v>2005</v>
      </c>
      <c r="I29" s="31">
        <f t="shared" si="1"/>
        <v>1.25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2:13" ht="12.75">
      <c r="B31" s="25"/>
      <c r="D31" s="20"/>
      <c r="E31" s="26"/>
      <c r="F31" s="28"/>
      <c r="G31" s="32"/>
      <c r="I31" s="36">
        <f>+SUM(I5:I29)</f>
        <v>93.95</v>
      </c>
      <c r="J31" s="36">
        <f>+SUM(J5:J29)</f>
        <v>36.3</v>
      </c>
      <c r="K31" s="36">
        <f>+SUM(K5:K29)</f>
        <v>24.5</v>
      </c>
      <c r="L31" s="36">
        <f>+SUM(L5:L29)</f>
        <v>20.25</v>
      </c>
      <c r="M31" s="36">
        <f>+SUM(M5:M29)</f>
        <v>8.05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44" t="s">
        <v>254</v>
      </c>
      <c r="C37" s="20" t="s">
        <v>49</v>
      </c>
      <c r="D37" s="20" t="s">
        <v>153</v>
      </c>
      <c r="E37" s="26">
        <v>2005</v>
      </c>
      <c r="F37" s="28">
        <v>1</v>
      </c>
      <c r="G37" s="32">
        <v>2007</v>
      </c>
      <c r="I37" s="31">
        <f aca="true" t="shared" si="2" ref="I37:I46">+CEILING(IF($I$35=E37,F37,IF($I$35&lt;=G37,F37*0.3,0)),0.05)</f>
        <v>1</v>
      </c>
      <c r="J37" s="31">
        <f aca="true" t="shared" si="3" ref="J37:J46">+CEILING(IF($J$35&lt;=G37,F37*0.3,0),0.05)</f>
        <v>0.30000000000000004</v>
      </c>
      <c r="K37" s="31">
        <f aca="true" t="shared" si="4" ref="K37:K46">+CEILING(IF($K$35&lt;=G37,F37*0.3,0),0.05)</f>
        <v>0.30000000000000004</v>
      </c>
      <c r="L37" s="31">
        <f aca="true" t="shared" si="5" ref="L37:L46">+CEILING(IF($L$35&lt;=G37,F37*0.3,0),0.05)</f>
        <v>0</v>
      </c>
      <c r="M37" s="31">
        <f aca="true" t="shared" si="6" ref="M37:M46">CEILING(IF($M$35&lt;=G37,F37*0.3,0),0.05)</f>
        <v>0</v>
      </c>
    </row>
    <row r="38" spans="1:13" ht="12.75">
      <c r="A38" s="24">
        <v>2</v>
      </c>
      <c r="B38" s="19" t="s">
        <v>404</v>
      </c>
      <c r="C38" s="20" t="s">
        <v>48</v>
      </c>
      <c r="D38" s="20" t="s">
        <v>118</v>
      </c>
      <c r="E38" s="26">
        <v>2005</v>
      </c>
      <c r="F38" s="28">
        <v>34</v>
      </c>
      <c r="G38" s="32">
        <v>2005</v>
      </c>
      <c r="I38" s="31">
        <f t="shared" si="2"/>
        <v>34</v>
      </c>
      <c r="J38" s="31">
        <f t="shared" si="3"/>
        <v>0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4">
        <v>3</v>
      </c>
      <c r="B39" s="25" t="s">
        <v>265</v>
      </c>
      <c r="C39" s="20" t="s">
        <v>48</v>
      </c>
      <c r="D39" s="20" t="s">
        <v>223</v>
      </c>
      <c r="E39" s="26">
        <v>2003</v>
      </c>
      <c r="F39" s="28">
        <v>19.2</v>
      </c>
      <c r="G39" s="30">
        <v>2005</v>
      </c>
      <c r="I39" s="31">
        <f t="shared" si="2"/>
        <v>5.800000000000001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B40" s="44" t="s">
        <v>259</v>
      </c>
      <c r="C40" s="20" t="s">
        <v>53</v>
      </c>
      <c r="D40" s="20" t="s">
        <v>128</v>
      </c>
      <c r="E40" s="26">
        <v>2004</v>
      </c>
      <c r="F40" s="28">
        <v>4.45</v>
      </c>
      <c r="G40" s="32">
        <v>2005</v>
      </c>
      <c r="I40" s="31">
        <f t="shared" si="2"/>
        <v>1.35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B41" s="44" t="s">
        <v>266</v>
      </c>
      <c r="C41" s="20" t="s">
        <v>53</v>
      </c>
      <c r="D41" s="20" t="s">
        <v>100</v>
      </c>
      <c r="E41" s="26">
        <v>2003</v>
      </c>
      <c r="F41" s="28">
        <v>1.6</v>
      </c>
      <c r="G41" s="32">
        <v>2005</v>
      </c>
      <c r="I41" s="31">
        <f t="shared" si="2"/>
        <v>0.5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44" t="s">
        <v>547</v>
      </c>
      <c r="C42" s="20" t="s">
        <v>50</v>
      </c>
      <c r="D42" s="20" t="s">
        <v>80</v>
      </c>
      <c r="E42" s="26">
        <v>2005</v>
      </c>
      <c r="F42" s="28">
        <v>1.25</v>
      </c>
      <c r="G42" s="32">
        <v>2005</v>
      </c>
      <c r="I42" s="31">
        <f t="shared" si="2"/>
        <v>1.25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B43" s="43" t="s">
        <v>591</v>
      </c>
      <c r="C43" s="20" t="s">
        <v>52</v>
      </c>
      <c r="D43" s="20" t="s">
        <v>169</v>
      </c>
      <c r="E43" s="26">
        <v>2005</v>
      </c>
      <c r="F43" s="28">
        <v>1.25</v>
      </c>
      <c r="G43" s="32">
        <v>2005</v>
      </c>
      <c r="I43" s="31">
        <f t="shared" si="2"/>
        <v>1.25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B44" s="19" t="s">
        <v>604</v>
      </c>
      <c r="C44" s="20" t="s">
        <v>50</v>
      </c>
      <c r="D44" s="20" t="s">
        <v>169</v>
      </c>
      <c r="E44" s="20">
        <v>2005</v>
      </c>
      <c r="F44" s="33">
        <v>1.25</v>
      </c>
      <c r="G44" s="34">
        <v>2005</v>
      </c>
      <c r="I44" s="31">
        <f t="shared" si="2"/>
        <v>1.25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4">
        <v>9</v>
      </c>
      <c r="B45" s="43"/>
      <c r="D45" s="20"/>
      <c r="E45" s="20"/>
      <c r="F45" s="33"/>
      <c r="G45" s="34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4">
        <v>10</v>
      </c>
      <c r="D46" s="20"/>
      <c r="E46" s="20"/>
      <c r="G46" s="20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5"/>
      <c r="J47" s="25"/>
      <c r="K47" s="25"/>
      <c r="L47" s="25"/>
      <c r="M47" s="25"/>
    </row>
    <row r="48" spans="9:13" ht="12.75">
      <c r="I48" s="36">
        <f>+SUM(I37:I47)</f>
        <v>46.4</v>
      </c>
      <c r="J48" s="36">
        <f>+SUM(J37:J47)</f>
        <v>0.30000000000000004</v>
      </c>
      <c r="K48" s="36">
        <f>+SUM(K37:K47)</f>
        <v>0.30000000000000004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0" t="s">
        <v>87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9:13" ht="7.5" customHeight="1">
      <c r="I51" s="37"/>
      <c r="J51" s="37"/>
      <c r="K51" s="37"/>
      <c r="L51" s="37"/>
      <c r="M51" s="37"/>
    </row>
    <row r="52" spans="1:13" ht="12.75">
      <c r="A52" s="24"/>
      <c r="B52" s="21" t="s">
        <v>88</v>
      </c>
      <c r="C52" s="22"/>
      <c r="D52" s="22"/>
      <c r="E52" s="22"/>
      <c r="F52" s="22" t="s">
        <v>89</v>
      </c>
      <c r="G52" s="22" t="s">
        <v>27</v>
      </c>
      <c r="I52" s="23">
        <f>+I$3</f>
        <v>2005</v>
      </c>
      <c r="J52" s="23">
        <f>+J$3</f>
        <v>2006</v>
      </c>
      <c r="K52" s="23">
        <f>+K$3</f>
        <v>2007</v>
      </c>
      <c r="L52" s="23">
        <f>+L$3</f>
        <v>2008</v>
      </c>
      <c r="M52" s="23">
        <f>+M$3</f>
        <v>2009</v>
      </c>
    </row>
    <row r="53" spans="1:13" ht="7.5" customHeight="1">
      <c r="A53" s="24"/>
      <c r="I53" s="38"/>
      <c r="J53" s="38"/>
      <c r="K53" s="38"/>
      <c r="L53" s="38"/>
      <c r="M53" s="38"/>
    </row>
    <row r="54" spans="1:13" ht="12.75">
      <c r="A54" s="24">
        <v>1</v>
      </c>
      <c r="B54" s="48"/>
      <c r="C54" s="48"/>
      <c r="D54" s="48"/>
      <c r="E54" s="48"/>
      <c r="I54" s="38"/>
      <c r="J54" s="38"/>
      <c r="K54" s="38"/>
      <c r="L54" s="38"/>
      <c r="M54" s="38"/>
    </row>
    <row r="55" spans="1:13" ht="12.75">
      <c r="A55" s="24">
        <v>2</v>
      </c>
      <c r="B55" s="48"/>
      <c r="C55" s="48"/>
      <c r="D55" s="48"/>
      <c r="E55" s="48"/>
      <c r="I55" s="38"/>
      <c r="J55" s="38"/>
      <c r="K55" s="38"/>
      <c r="L55" s="38"/>
      <c r="M55" s="38"/>
    </row>
    <row r="56" spans="1:13" ht="7.5" customHeight="1">
      <c r="A56" s="24"/>
      <c r="I56" s="38"/>
      <c r="J56" s="38"/>
      <c r="K56" s="38"/>
      <c r="L56" s="38"/>
      <c r="M56" s="38"/>
    </row>
    <row r="57" spans="1:13" ht="12.75">
      <c r="A57" s="24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4:E54"/>
    <mergeCell ref="B55:E55"/>
    <mergeCell ref="A1:M1"/>
    <mergeCell ref="A33:M33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Waldusky&amp;R&amp;"Copperplate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19" t="s">
        <v>552</v>
      </c>
      <c r="C5" s="20" t="s">
        <v>48</v>
      </c>
      <c r="D5" s="20" t="s">
        <v>169</v>
      </c>
      <c r="E5" s="20" t="s">
        <v>64</v>
      </c>
      <c r="F5" s="33">
        <v>9.65</v>
      </c>
      <c r="G5" s="34">
        <v>2009</v>
      </c>
      <c r="I5" s="31">
        <f aca="true" t="shared" si="0" ref="I5:M14">+IF($G5&gt;=I$3,$F5,0)</f>
        <v>9.65</v>
      </c>
      <c r="J5" s="31">
        <f t="shared" si="0"/>
        <v>9.65</v>
      </c>
      <c r="K5" s="31">
        <f t="shared" si="0"/>
        <v>9.65</v>
      </c>
      <c r="L5" s="31">
        <f t="shared" si="0"/>
        <v>9.65</v>
      </c>
      <c r="M5" s="31">
        <f t="shared" si="0"/>
        <v>9.65</v>
      </c>
    </row>
    <row r="6" spans="1:13" ht="12.75">
      <c r="A6" s="24">
        <v>2</v>
      </c>
      <c r="B6" s="19" t="s">
        <v>417</v>
      </c>
      <c r="C6" s="20" t="s">
        <v>49</v>
      </c>
      <c r="D6" s="20" t="s">
        <v>223</v>
      </c>
      <c r="E6" s="26" t="s">
        <v>64</v>
      </c>
      <c r="F6" s="28">
        <v>6.7</v>
      </c>
      <c r="G6" s="30">
        <v>2009</v>
      </c>
      <c r="I6" s="31">
        <f t="shared" si="0"/>
        <v>6.7</v>
      </c>
      <c r="J6" s="31">
        <f t="shared" si="0"/>
        <v>6.7</v>
      </c>
      <c r="K6" s="31">
        <f t="shared" si="0"/>
        <v>6.7</v>
      </c>
      <c r="L6" s="31">
        <f t="shared" si="0"/>
        <v>6.7</v>
      </c>
      <c r="M6" s="31">
        <f t="shared" si="0"/>
        <v>6.7</v>
      </c>
    </row>
    <row r="7" spans="1:13" ht="12.75">
      <c r="A7" s="24">
        <v>3</v>
      </c>
      <c r="B7" s="19" t="s">
        <v>476</v>
      </c>
      <c r="C7" s="20" t="s">
        <v>51</v>
      </c>
      <c r="D7" s="20" t="s">
        <v>73</v>
      </c>
      <c r="E7" s="26" t="s">
        <v>64</v>
      </c>
      <c r="F7" s="28">
        <v>3.75</v>
      </c>
      <c r="G7" s="32">
        <v>2009</v>
      </c>
      <c r="I7" s="31">
        <f t="shared" si="0"/>
        <v>3.75</v>
      </c>
      <c r="J7" s="31">
        <f t="shared" si="0"/>
        <v>3.75</v>
      </c>
      <c r="K7" s="31">
        <f t="shared" si="0"/>
        <v>3.75</v>
      </c>
      <c r="L7" s="31">
        <f t="shared" si="0"/>
        <v>3.75</v>
      </c>
      <c r="M7" s="31">
        <f t="shared" si="0"/>
        <v>3.75</v>
      </c>
    </row>
    <row r="8" spans="1:13" ht="12.75">
      <c r="A8" s="24">
        <v>4</v>
      </c>
      <c r="B8" s="25" t="s">
        <v>274</v>
      </c>
      <c r="C8" s="20" t="s">
        <v>48</v>
      </c>
      <c r="D8" s="20" t="s">
        <v>66</v>
      </c>
      <c r="E8" s="26" t="s">
        <v>64</v>
      </c>
      <c r="F8" s="28">
        <v>1.25</v>
      </c>
      <c r="G8" s="32">
        <v>2009</v>
      </c>
      <c r="I8" s="31">
        <f t="shared" si="0"/>
        <v>1.25</v>
      </c>
      <c r="J8" s="31">
        <f t="shared" si="0"/>
        <v>1.25</v>
      </c>
      <c r="K8" s="31">
        <f t="shared" si="0"/>
        <v>1.25</v>
      </c>
      <c r="L8" s="31">
        <f t="shared" si="0"/>
        <v>1.25</v>
      </c>
      <c r="M8" s="31">
        <f t="shared" si="0"/>
        <v>1.25</v>
      </c>
    </row>
    <row r="9" spans="1:13" ht="12.75">
      <c r="A9" s="24">
        <v>5</v>
      </c>
      <c r="B9" s="19" t="s">
        <v>546</v>
      </c>
      <c r="C9" s="20" t="s">
        <v>49</v>
      </c>
      <c r="D9" s="20" t="s">
        <v>70</v>
      </c>
      <c r="E9" s="20" t="s">
        <v>64</v>
      </c>
      <c r="F9" s="33">
        <v>1.25</v>
      </c>
      <c r="G9" s="34">
        <v>2009</v>
      </c>
      <c r="I9" s="31">
        <f t="shared" si="0"/>
        <v>1.25</v>
      </c>
      <c r="J9" s="31">
        <f t="shared" si="0"/>
        <v>1.25</v>
      </c>
      <c r="K9" s="31">
        <f t="shared" si="0"/>
        <v>1.25</v>
      </c>
      <c r="L9" s="31">
        <f t="shared" si="0"/>
        <v>1.25</v>
      </c>
      <c r="M9" s="31">
        <f t="shared" si="0"/>
        <v>1.25</v>
      </c>
    </row>
    <row r="10" spans="1:13" ht="12.75">
      <c r="A10" s="24">
        <v>6</v>
      </c>
      <c r="B10" s="25" t="s">
        <v>275</v>
      </c>
      <c r="C10" s="20" t="s">
        <v>48</v>
      </c>
      <c r="D10" s="20" t="s">
        <v>77</v>
      </c>
      <c r="E10" s="26" t="s">
        <v>64</v>
      </c>
      <c r="F10" s="28">
        <v>6.6</v>
      </c>
      <c r="G10" s="32">
        <v>2008</v>
      </c>
      <c r="I10" s="31">
        <f t="shared" si="0"/>
        <v>6.6</v>
      </c>
      <c r="J10" s="31">
        <f t="shared" si="0"/>
        <v>6.6</v>
      </c>
      <c r="K10" s="31">
        <f t="shared" si="0"/>
        <v>6.6</v>
      </c>
      <c r="L10" s="31">
        <f t="shared" si="0"/>
        <v>6.6</v>
      </c>
      <c r="M10" s="31">
        <f t="shared" si="0"/>
        <v>0</v>
      </c>
    </row>
    <row r="11" spans="1:13" ht="12.75">
      <c r="A11" s="24">
        <v>7</v>
      </c>
      <c r="B11" s="44" t="s">
        <v>261</v>
      </c>
      <c r="C11" s="20" t="s">
        <v>48</v>
      </c>
      <c r="D11" s="20" t="s">
        <v>82</v>
      </c>
      <c r="E11" s="26" t="s">
        <v>64</v>
      </c>
      <c r="F11" s="28">
        <v>4.4</v>
      </c>
      <c r="G11" s="30">
        <v>2008</v>
      </c>
      <c r="I11" s="31">
        <f t="shared" si="0"/>
        <v>4.4</v>
      </c>
      <c r="J11" s="31">
        <f t="shared" si="0"/>
        <v>4.4</v>
      </c>
      <c r="K11" s="31">
        <f t="shared" si="0"/>
        <v>4.4</v>
      </c>
      <c r="L11" s="31">
        <f t="shared" si="0"/>
        <v>4.4</v>
      </c>
      <c r="M11" s="31">
        <f t="shared" si="0"/>
        <v>0</v>
      </c>
    </row>
    <row r="12" spans="1:13" ht="12.75">
      <c r="A12" s="24">
        <v>8</v>
      </c>
      <c r="B12" s="19" t="s">
        <v>276</v>
      </c>
      <c r="C12" s="20" t="s">
        <v>50</v>
      </c>
      <c r="D12" s="20" t="s">
        <v>113</v>
      </c>
      <c r="E12" s="20" t="s">
        <v>64</v>
      </c>
      <c r="F12" s="33">
        <v>1.1</v>
      </c>
      <c r="G12" s="34">
        <v>2008</v>
      </c>
      <c r="I12" s="31">
        <f t="shared" si="0"/>
        <v>1.1</v>
      </c>
      <c r="J12" s="31">
        <f t="shared" si="0"/>
        <v>1.1</v>
      </c>
      <c r="K12" s="31">
        <f t="shared" si="0"/>
        <v>1.1</v>
      </c>
      <c r="L12" s="31">
        <f t="shared" si="0"/>
        <v>1.1</v>
      </c>
      <c r="M12" s="31">
        <f t="shared" si="0"/>
        <v>0</v>
      </c>
    </row>
    <row r="13" spans="1:13" ht="12.75">
      <c r="A13" s="24">
        <v>9</v>
      </c>
      <c r="B13" s="25" t="s">
        <v>158</v>
      </c>
      <c r="C13" s="20" t="s">
        <v>52</v>
      </c>
      <c r="D13" s="20" t="s">
        <v>150</v>
      </c>
      <c r="E13" s="26" t="s">
        <v>64</v>
      </c>
      <c r="F13" s="28">
        <v>1.1</v>
      </c>
      <c r="G13" s="32">
        <v>2008</v>
      </c>
      <c r="I13" s="31">
        <f t="shared" si="0"/>
        <v>1.1</v>
      </c>
      <c r="J13" s="31">
        <f t="shared" si="0"/>
        <v>1.1</v>
      </c>
      <c r="K13" s="31">
        <f t="shared" si="0"/>
        <v>1.1</v>
      </c>
      <c r="L13" s="31">
        <f t="shared" si="0"/>
        <v>1.1</v>
      </c>
      <c r="M13" s="31">
        <f t="shared" si="0"/>
        <v>0</v>
      </c>
    </row>
    <row r="14" spans="1:13" ht="12.75">
      <c r="A14" s="24">
        <v>10</v>
      </c>
      <c r="B14" s="19" t="s">
        <v>470</v>
      </c>
      <c r="C14" s="20" t="s">
        <v>49</v>
      </c>
      <c r="D14" s="20" t="s">
        <v>98</v>
      </c>
      <c r="E14" s="26" t="s">
        <v>64</v>
      </c>
      <c r="F14" s="28">
        <v>11.6</v>
      </c>
      <c r="G14" s="32">
        <v>2007</v>
      </c>
      <c r="I14" s="31">
        <f t="shared" si="0"/>
        <v>11.6</v>
      </c>
      <c r="J14" s="31">
        <f t="shared" si="0"/>
        <v>11.6</v>
      </c>
      <c r="K14" s="31">
        <f t="shared" si="0"/>
        <v>11.6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19" t="s">
        <v>475</v>
      </c>
      <c r="C15" s="20" t="s">
        <v>52</v>
      </c>
      <c r="D15" s="20" t="s">
        <v>95</v>
      </c>
      <c r="E15" s="26" t="s">
        <v>64</v>
      </c>
      <c r="F15" s="28">
        <v>5.2</v>
      </c>
      <c r="G15" s="32">
        <v>2007</v>
      </c>
      <c r="I15" s="31">
        <f aca="true" t="shared" si="1" ref="I15:M29">+IF($G15&gt;=I$3,$F15,0)</f>
        <v>5.2</v>
      </c>
      <c r="J15" s="31">
        <f t="shared" si="1"/>
        <v>5.2</v>
      </c>
      <c r="K15" s="31">
        <f t="shared" si="1"/>
        <v>5.2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19" t="s">
        <v>267</v>
      </c>
      <c r="C16" s="20" t="s">
        <v>47</v>
      </c>
      <c r="D16" s="20" t="s">
        <v>77</v>
      </c>
      <c r="E16" s="20" t="s">
        <v>64</v>
      </c>
      <c r="F16" s="33">
        <v>4.65</v>
      </c>
      <c r="G16" s="34">
        <v>2007</v>
      </c>
      <c r="I16" s="31">
        <f t="shared" si="1"/>
        <v>4.65</v>
      </c>
      <c r="J16" s="31">
        <f t="shared" si="1"/>
        <v>4.65</v>
      </c>
      <c r="K16" s="31">
        <f t="shared" si="1"/>
        <v>4.65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25" t="s">
        <v>268</v>
      </c>
      <c r="C17" s="20" t="s">
        <v>53</v>
      </c>
      <c r="D17" s="20" t="s">
        <v>77</v>
      </c>
      <c r="E17" s="26" t="s">
        <v>64</v>
      </c>
      <c r="F17" s="28">
        <v>3.5</v>
      </c>
      <c r="G17" s="32">
        <v>2007</v>
      </c>
      <c r="I17" s="31">
        <f t="shared" si="1"/>
        <v>3.5</v>
      </c>
      <c r="J17" s="31">
        <f t="shared" si="1"/>
        <v>3.5</v>
      </c>
      <c r="K17" s="31">
        <f t="shared" si="1"/>
        <v>3.5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269</v>
      </c>
      <c r="C18" s="20" t="s">
        <v>48</v>
      </c>
      <c r="D18" s="20" t="s">
        <v>63</v>
      </c>
      <c r="E18" s="26" t="s">
        <v>64</v>
      </c>
      <c r="F18" s="28">
        <v>2.95</v>
      </c>
      <c r="G18" s="32">
        <v>2007</v>
      </c>
      <c r="I18" s="31">
        <f t="shared" si="1"/>
        <v>2.95</v>
      </c>
      <c r="J18" s="31">
        <f t="shared" si="1"/>
        <v>2.95</v>
      </c>
      <c r="K18" s="31">
        <f t="shared" si="1"/>
        <v>2.95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43" t="s">
        <v>364</v>
      </c>
      <c r="C19" s="20" t="s">
        <v>49</v>
      </c>
      <c r="D19" s="20" t="s">
        <v>95</v>
      </c>
      <c r="E19" s="26" t="s">
        <v>64</v>
      </c>
      <c r="F19" s="28">
        <v>1.85</v>
      </c>
      <c r="G19" s="32">
        <v>2007</v>
      </c>
      <c r="I19" s="31">
        <f t="shared" si="1"/>
        <v>1.85</v>
      </c>
      <c r="J19" s="31">
        <f t="shared" si="1"/>
        <v>1.85</v>
      </c>
      <c r="K19" s="31">
        <f t="shared" si="1"/>
        <v>1.85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19" t="s">
        <v>580</v>
      </c>
      <c r="C20" s="20" t="s">
        <v>47</v>
      </c>
      <c r="D20" s="20" t="s">
        <v>77</v>
      </c>
      <c r="E20" s="20" t="s">
        <v>64</v>
      </c>
      <c r="F20" s="33">
        <v>1.25</v>
      </c>
      <c r="G20" s="34">
        <v>2007</v>
      </c>
      <c r="I20" s="31">
        <f t="shared" si="1"/>
        <v>1.25</v>
      </c>
      <c r="J20" s="31">
        <f t="shared" si="1"/>
        <v>1.25</v>
      </c>
      <c r="K20" s="31">
        <f t="shared" si="1"/>
        <v>1.25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43" t="s">
        <v>255</v>
      </c>
      <c r="C21" s="20" t="s">
        <v>52</v>
      </c>
      <c r="D21" s="20" t="s">
        <v>84</v>
      </c>
      <c r="E21" s="20" t="s">
        <v>64</v>
      </c>
      <c r="F21" s="33">
        <v>1</v>
      </c>
      <c r="G21" s="34">
        <v>2007</v>
      </c>
      <c r="I21" s="31">
        <f t="shared" si="1"/>
        <v>1</v>
      </c>
      <c r="J21" s="31">
        <f t="shared" si="1"/>
        <v>1</v>
      </c>
      <c r="K21" s="31">
        <f t="shared" si="1"/>
        <v>1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19" t="s">
        <v>509</v>
      </c>
      <c r="C22" s="20" t="s">
        <v>50</v>
      </c>
      <c r="D22" s="20" t="s">
        <v>150</v>
      </c>
      <c r="E22" s="26" t="s">
        <v>64</v>
      </c>
      <c r="F22" s="28">
        <v>5.25</v>
      </c>
      <c r="G22" s="32">
        <v>2006</v>
      </c>
      <c r="I22" s="31">
        <f t="shared" si="1"/>
        <v>5.25</v>
      </c>
      <c r="J22" s="31">
        <f t="shared" si="1"/>
        <v>5.25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25" t="s">
        <v>286</v>
      </c>
      <c r="C23" s="20" t="s">
        <v>49</v>
      </c>
      <c r="D23" s="20" t="s">
        <v>68</v>
      </c>
      <c r="E23" s="26" t="s">
        <v>64</v>
      </c>
      <c r="F23" s="28">
        <v>18</v>
      </c>
      <c r="G23" s="32">
        <v>2005</v>
      </c>
      <c r="I23" s="31">
        <f t="shared" si="1"/>
        <v>18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43" t="s">
        <v>264</v>
      </c>
      <c r="C24" s="20" t="s">
        <v>52</v>
      </c>
      <c r="D24" s="20" t="s">
        <v>76</v>
      </c>
      <c r="E24" s="26" t="s">
        <v>64</v>
      </c>
      <c r="F24" s="28">
        <v>6</v>
      </c>
      <c r="G24" s="32">
        <v>2005</v>
      </c>
      <c r="I24" s="31">
        <f t="shared" si="1"/>
        <v>6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25" t="s">
        <v>152</v>
      </c>
      <c r="C25" s="20" t="s">
        <v>52</v>
      </c>
      <c r="D25" s="20" t="s">
        <v>153</v>
      </c>
      <c r="E25" s="26" t="s">
        <v>64</v>
      </c>
      <c r="F25" s="28">
        <v>2.7</v>
      </c>
      <c r="G25" s="32">
        <v>2005</v>
      </c>
      <c r="I25" s="31">
        <f t="shared" si="1"/>
        <v>2.7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19" t="s">
        <v>676</v>
      </c>
      <c r="C26" s="20" t="s">
        <v>53</v>
      </c>
      <c r="D26" s="20" t="s">
        <v>106</v>
      </c>
      <c r="E26" s="26" t="s">
        <v>64</v>
      </c>
      <c r="F26" s="28">
        <v>1.25</v>
      </c>
      <c r="G26" s="32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19" t="s">
        <v>679</v>
      </c>
      <c r="C27" s="20" t="s">
        <v>52</v>
      </c>
      <c r="D27" s="20" t="s">
        <v>110</v>
      </c>
      <c r="E27" s="20" t="s">
        <v>64</v>
      </c>
      <c r="F27" s="33">
        <v>1.25</v>
      </c>
      <c r="G27" s="34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699</v>
      </c>
      <c r="C28" s="20" t="s">
        <v>47</v>
      </c>
      <c r="D28" s="20" t="s">
        <v>77</v>
      </c>
      <c r="E28" s="20" t="s">
        <v>64</v>
      </c>
      <c r="F28" s="33">
        <v>1.25</v>
      </c>
      <c r="G28" s="34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19" t="s">
        <v>669</v>
      </c>
      <c r="C29" s="20" t="s">
        <v>53</v>
      </c>
      <c r="D29" s="20" t="s">
        <v>95</v>
      </c>
      <c r="E29" s="20" t="s">
        <v>64</v>
      </c>
      <c r="F29" s="33">
        <v>1.25</v>
      </c>
      <c r="G29" s="34">
        <v>2005</v>
      </c>
      <c r="I29" s="31">
        <f t="shared" si="1"/>
        <v>1.25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2:13" ht="12.75">
      <c r="B31" s="25"/>
      <c r="D31" s="20"/>
      <c r="E31" s="26"/>
      <c r="F31" s="28"/>
      <c r="G31" s="32"/>
      <c r="I31" s="36">
        <f>+SUM(I5:I29)</f>
        <v>104.75000000000001</v>
      </c>
      <c r="J31" s="36">
        <f>+SUM(J5:J29)</f>
        <v>73.05000000000001</v>
      </c>
      <c r="K31" s="36">
        <f>+SUM(K5:K29)</f>
        <v>67.80000000000001</v>
      </c>
      <c r="L31" s="36">
        <f>+SUM(L5:L29)</f>
        <v>35.800000000000004</v>
      </c>
      <c r="M31" s="36">
        <f>+SUM(M5:M29)</f>
        <v>22.6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19" t="s">
        <v>361</v>
      </c>
      <c r="C37" s="20" t="s">
        <v>53</v>
      </c>
      <c r="D37" s="20" t="s">
        <v>78</v>
      </c>
      <c r="E37" s="20">
        <v>2005</v>
      </c>
      <c r="F37" s="33">
        <v>2.9</v>
      </c>
      <c r="G37" s="34">
        <v>2008</v>
      </c>
      <c r="I37" s="31">
        <f aca="true" t="shared" si="2" ref="I37:I46">+CEILING(IF($I$35=E37,F37,IF($I$35&lt;=G37,F37*0.3,0)),0.05)</f>
        <v>2.9000000000000004</v>
      </c>
      <c r="J37" s="31">
        <f aca="true" t="shared" si="3" ref="J37:J46">+CEILING(IF($J$35&lt;=G37,F37*0.3,0),0.05)</f>
        <v>0.9</v>
      </c>
      <c r="K37" s="31">
        <f aca="true" t="shared" si="4" ref="K37:K46">+CEILING(IF($K$35&lt;=G37,F37*0.3,0),0.05)</f>
        <v>0.9</v>
      </c>
      <c r="L37" s="31">
        <f aca="true" t="shared" si="5" ref="L37:L46">+CEILING(IF($L$35&lt;=G37,F37*0.3,0),0.05)</f>
        <v>0.9</v>
      </c>
      <c r="M37" s="31">
        <f aca="true" t="shared" si="6" ref="M37:M46">CEILING(IF($M$35&lt;=G37,F37*0.3,0),0.05)</f>
        <v>0</v>
      </c>
    </row>
    <row r="38" spans="1:13" ht="12.75">
      <c r="A38" s="24">
        <v>2</v>
      </c>
      <c r="B38" s="25" t="s">
        <v>271</v>
      </c>
      <c r="C38" s="20" t="s">
        <v>52</v>
      </c>
      <c r="D38" s="20" t="s">
        <v>110</v>
      </c>
      <c r="E38" s="26">
        <v>2004</v>
      </c>
      <c r="F38" s="28">
        <v>1</v>
      </c>
      <c r="G38" s="32">
        <v>2006</v>
      </c>
      <c r="I38" s="31">
        <f t="shared" si="2"/>
        <v>0.30000000000000004</v>
      </c>
      <c r="J38" s="31">
        <f t="shared" si="3"/>
        <v>0.30000000000000004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4">
        <v>3</v>
      </c>
      <c r="B39" s="19" t="s">
        <v>527</v>
      </c>
      <c r="C39" s="20" t="s">
        <v>48</v>
      </c>
      <c r="D39" s="20" t="s">
        <v>150</v>
      </c>
      <c r="E39" s="26">
        <v>2005</v>
      </c>
      <c r="F39" s="28">
        <v>10</v>
      </c>
      <c r="G39" s="32">
        <v>2005</v>
      </c>
      <c r="I39" s="31">
        <f t="shared" si="2"/>
        <v>10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B40" s="19" t="s">
        <v>487</v>
      </c>
      <c r="C40" s="20" t="s">
        <v>47</v>
      </c>
      <c r="D40" s="20" t="s">
        <v>223</v>
      </c>
      <c r="E40" s="20">
        <v>2005</v>
      </c>
      <c r="F40" s="33">
        <v>7</v>
      </c>
      <c r="G40" s="34">
        <v>2005</v>
      </c>
      <c r="I40" s="31">
        <f t="shared" si="2"/>
        <v>7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B41" s="19" t="s">
        <v>272</v>
      </c>
      <c r="C41" s="20" t="s">
        <v>49</v>
      </c>
      <c r="D41" s="20" t="s">
        <v>146</v>
      </c>
      <c r="E41" s="20">
        <v>2005</v>
      </c>
      <c r="F41" s="33">
        <v>2.85</v>
      </c>
      <c r="G41" s="34">
        <v>2005</v>
      </c>
      <c r="I41" s="31">
        <f t="shared" si="2"/>
        <v>2.85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25" t="s">
        <v>273</v>
      </c>
      <c r="C42" s="20" t="s">
        <v>52</v>
      </c>
      <c r="D42" s="20" t="s">
        <v>128</v>
      </c>
      <c r="E42" s="26">
        <v>2004</v>
      </c>
      <c r="F42" s="28">
        <v>1.8</v>
      </c>
      <c r="G42" s="32">
        <v>2005</v>
      </c>
      <c r="I42" s="31">
        <f t="shared" si="2"/>
        <v>0.55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B43" s="19" t="s">
        <v>369</v>
      </c>
      <c r="C43" s="20" t="s">
        <v>51</v>
      </c>
      <c r="D43" s="20" t="s">
        <v>84</v>
      </c>
      <c r="E43" s="20">
        <v>2005</v>
      </c>
      <c r="F43" s="33">
        <v>1.7</v>
      </c>
      <c r="G43" s="34">
        <v>2005</v>
      </c>
      <c r="I43" s="31">
        <f t="shared" si="2"/>
        <v>1.7000000000000002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B44" s="19" t="s">
        <v>663</v>
      </c>
      <c r="C44" s="20" t="s">
        <v>53</v>
      </c>
      <c r="D44" s="20" t="s">
        <v>66</v>
      </c>
      <c r="E44" s="20">
        <v>2005</v>
      </c>
      <c r="F44" s="33">
        <v>1.25</v>
      </c>
      <c r="G44" s="34">
        <v>2005</v>
      </c>
      <c r="I44" s="31">
        <f>+CEILING(IF($I$35=E44,F44,IF($I$35&lt;=G44,F44*0.3,0)),0.05)</f>
        <v>1.25</v>
      </c>
      <c r="J44" s="31">
        <f>+CEILING(IF($J$35&lt;=G44,F44*0.3,0),0.05)</f>
        <v>0</v>
      </c>
      <c r="K44" s="31">
        <f>+CEILING(IF($K$35&lt;=G44,F44*0.3,0),0.05)</f>
        <v>0</v>
      </c>
      <c r="L44" s="31">
        <f>+CEILING(IF($L$35&lt;=G44,F44*0.3,0),0.05)</f>
        <v>0</v>
      </c>
      <c r="M44" s="31">
        <f>CEILING(IF($M$35&lt;=G44,F44*0.3,0),0.05)</f>
        <v>0</v>
      </c>
    </row>
    <row r="45" spans="1:13" ht="12.75">
      <c r="A45" s="24">
        <v>9</v>
      </c>
      <c r="B45" s="19" t="s">
        <v>681</v>
      </c>
      <c r="C45" s="20" t="s">
        <v>52</v>
      </c>
      <c r="D45" s="20" t="s">
        <v>68</v>
      </c>
      <c r="E45" s="20">
        <v>2005</v>
      </c>
      <c r="F45" s="33">
        <v>1.25</v>
      </c>
      <c r="G45" s="34">
        <v>2005</v>
      </c>
      <c r="I45" s="31">
        <f>+CEILING(IF($I$35=E45,F45,IF($I$35&lt;=G45,F45*0.3,0)),0.05)</f>
        <v>1.25</v>
      </c>
      <c r="J45" s="31">
        <f>+CEILING(IF($J$35&lt;=G45,F45*0.3,0),0.05)</f>
        <v>0</v>
      </c>
      <c r="K45" s="31">
        <f>+CEILING(IF($K$35&lt;=G45,F45*0.3,0),0.05)</f>
        <v>0</v>
      </c>
      <c r="L45" s="31">
        <f>+CEILING(IF($L$35&lt;=G45,F45*0.3,0),0.05)</f>
        <v>0</v>
      </c>
      <c r="M45" s="31">
        <f>CEILING(IF($M$35&lt;=G45,F45*0.3,0),0.05)</f>
        <v>0</v>
      </c>
    </row>
    <row r="46" spans="1:13" ht="12.75">
      <c r="A46" s="24">
        <v>10</v>
      </c>
      <c r="D46" s="20"/>
      <c r="E46" s="20"/>
      <c r="F46" s="33"/>
      <c r="G46" s="34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5"/>
      <c r="J47" s="25"/>
      <c r="K47" s="25"/>
      <c r="L47" s="25"/>
      <c r="M47" s="25"/>
    </row>
    <row r="48" spans="9:13" ht="12.75">
      <c r="I48" s="36">
        <f>+SUM(I37:I47)</f>
        <v>27.8</v>
      </c>
      <c r="J48" s="36">
        <f>+SUM(J37:J47)</f>
        <v>1.2000000000000002</v>
      </c>
      <c r="K48" s="36">
        <f>+SUM(K37:K47)</f>
        <v>0.9</v>
      </c>
      <c r="L48" s="36">
        <f>+SUM(L37:L47)</f>
        <v>0.9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0" t="s">
        <v>87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9:13" ht="7.5" customHeight="1">
      <c r="I51" s="37"/>
      <c r="J51" s="37"/>
      <c r="K51" s="37"/>
      <c r="L51" s="37"/>
      <c r="M51" s="37"/>
    </row>
    <row r="52" spans="1:13" ht="12.75">
      <c r="A52" s="24"/>
      <c r="B52" s="21" t="s">
        <v>88</v>
      </c>
      <c r="C52" s="22"/>
      <c r="D52" s="22"/>
      <c r="E52" s="22"/>
      <c r="F52" s="22" t="s">
        <v>89</v>
      </c>
      <c r="G52" s="22" t="s">
        <v>27</v>
      </c>
      <c r="I52" s="23">
        <f>+I$3</f>
        <v>2005</v>
      </c>
      <c r="J52" s="23">
        <f>+J$3</f>
        <v>2006</v>
      </c>
      <c r="K52" s="23">
        <f>+K$3</f>
        <v>2007</v>
      </c>
      <c r="L52" s="23">
        <f>+L$3</f>
        <v>2008</v>
      </c>
      <c r="M52" s="23">
        <f>+M$3</f>
        <v>2009</v>
      </c>
    </row>
    <row r="53" spans="1:13" ht="7.5" customHeight="1">
      <c r="A53" s="24"/>
      <c r="I53" s="38"/>
      <c r="J53" s="38"/>
      <c r="K53" s="38"/>
      <c r="L53" s="38"/>
      <c r="M53" s="38"/>
    </row>
    <row r="54" spans="1:13" ht="12.75">
      <c r="A54" s="24">
        <v>1</v>
      </c>
      <c r="B54" s="48" t="s">
        <v>408</v>
      </c>
      <c r="C54" s="48"/>
      <c r="D54" s="48"/>
      <c r="E54" s="48"/>
      <c r="F54" s="27">
        <v>1.5</v>
      </c>
      <c r="G54" s="20">
        <v>2005</v>
      </c>
      <c r="I54" s="41">
        <f>+F54</f>
        <v>1.5</v>
      </c>
      <c r="J54" s="41">
        <v>0</v>
      </c>
      <c r="K54" s="41">
        <v>0</v>
      </c>
      <c r="L54" s="41">
        <v>0</v>
      </c>
      <c r="M54" s="41">
        <v>0</v>
      </c>
    </row>
    <row r="55" spans="1:13" ht="12.75">
      <c r="A55" s="24">
        <v>2</v>
      </c>
      <c r="B55" s="48" t="s">
        <v>651</v>
      </c>
      <c r="C55" s="48"/>
      <c r="D55" s="48"/>
      <c r="E55" s="48"/>
      <c r="F55" s="27">
        <v>8.75</v>
      </c>
      <c r="G55" s="20">
        <v>2005</v>
      </c>
      <c r="I55" s="41">
        <f>+F55</f>
        <v>8.75</v>
      </c>
      <c r="J55" s="41">
        <v>0</v>
      </c>
      <c r="K55" s="41">
        <v>0</v>
      </c>
      <c r="L55" s="41">
        <v>0</v>
      </c>
      <c r="M55" s="41">
        <v>0</v>
      </c>
    </row>
    <row r="56" spans="1:13" ht="12.75">
      <c r="A56" s="24">
        <v>3</v>
      </c>
      <c r="B56" s="19" t="s">
        <v>688</v>
      </c>
      <c r="C56" s="19"/>
      <c r="F56" s="27">
        <v>-6.15</v>
      </c>
      <c r="G56" s="20">
        <v>2005</v>
      </c>
      <c r="I56" s="41">
        <v>-6.15</v>
      </c>
      <c r="J56" s="41">
        <v>0</v>
      </c>
      <c r="K56" s="41">
        <v>0</v>
      </c>
      <c r="L56" s="41">
        <v>0</v>
      </c>
      <c r="M56" s="41">
        <v>0</v>
      </c>
    </row>
    <row r="57" spans="1:13" ht="7.5" customHeight="1">
      <c r="A57" s="24"/>
      <c r="I57" s="38"/>
      <c r="J57" s="38"/>
      <c r="K57" s="38"/>
      <c r="L57" s="38"/>
      <c r="M57" s="38"/>
    </row>
    <row r="58" spans="1:13" ht="12.75">
      <c r="A58" s="24"/>
      <c r="I58" s="35">
        <f>+SUM(I54:I57)</f>
        <v>4.1</v>
      </c>
      <c r="J58" s="35">
        <f>+SUM(J54:J57)</f>
        <v>0</v>
      </c>
      <c r="K58" s="35">
        <f>+SUM(K54:K57)</f>
        <v>0</v>
      </c>
      <c r="L58" s="35">
        <f>+SUM(L54:L57)</f>
        <v>0</v>
      </c>
      <c r="M58" s="35">
        <f>+SUM(M54:M57)</f>
        <v>0</v>
      </c>
    </row>
  </sheetData>
  <sheetProtection/>
  <mergeCells count="5">
    <mergeCell ref="A1:M1"/>
    <mergeCell ref="B54:E54"/>
    <mergeCell ref="B55:E55"/>
    <mergeCell ref="A33:M33"/>
    <mergeCell ref="A50:M50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19" t="s">
        <v>542</v>
      </c>
      <c r="C5" s="20" t="s">
        <v>49</v>
      </c>
      <c r="D5" s="20" t="s">
        <v>153</v>
      </c>
      <c r="E5" s="26" t="s">
        <v>64</v>
      </c>
      <c r="F5" s="33">
        <v>11.9</v>
      </c>
      <c r="G5" s="34">
        <v>2009</v>
      </c>
      <c r="I5" s="31">
        <f aca="true" t="shared" si="0" ref="I5:M14">+IF($G5&gt;=I$3,$F5,0)</f>
        <v>11.9</v>
      </c>
      <c r="J5" s="31">
        <f t="shared" si="0"/>
        <v>11.9</v>
      </c>
      <c r="K5" s="31">
        <f t="shared" si="0"/>
        <v>11.9</v>
      </c>
      <c r="L5" s="31">
        <f t="shared" si="0"/>
        <v>11.9</v>
      </c>
      <c r="M5" s="31">
        <f t="shared" si="0"/>
        <v>11.9</v>
      </c>
    </row>
    <row r="6" spans="1:13" ht="12.75">
      <c r="A6" s="24">
        <v>2</v>
      </c>
      <c r="B6" s="19" t="s">
        <v>413</v>
      </c>
      <c r="C6" s="20" t="s">
        <v>48</v>
      </c>
      <c r="D6" s="20" t="s">
        <v>146</v>
      </c>
      <c r="E6" s="26" t="s">
        <v>64</v>
      </c>
      <c r="F6" s="33">
        <v>9.1</v>
      </c>
      <c r="G6" s="34">
        <v>2009</v>
      </c>
      <c r="I6" s="31">
        <f t="shared" si="0"/>
        <v>9.1</v>
      </c>
      <c r="J6" s="31">
        <f t="shared" si="0"/>
        <v>9.1</v>
      </c>
      <c r="K6" s="31">
        <f t="shared" si="0"/>
        <v>9.1</v>
      </c>
      <c r="L6" s="31">
        <f t="shared" si="0"/>
        <v>9.1</v>
      </c>
      <c r="M6" s="31">
        <f t="shared" si="0"/>
        <v>9.1</v>
      </c>
    </row>
    <row r="7" spans="1:13" ht="12.75">
      <c r="A7" s="24">
        <v>3</v>
      </c>
      <c r="B7" s="19" t="s">
        <v>571</v>
      </c>
      <c r="C7" s="20" t="s">
        <v>52</v>
      </c>
      <c r="D7" s="20" t="s">
        <v>150</v>
      </c>
      <c r="E7" s="26" t="s">
        <v>64</v>
      </c>
      <c r="F7" s="28">
        <v>1.75</v>
      </c>
      <c r="G7" s="32">
        <v>2009</v>
      </c>
      <c r="I7" s="31">
        <f t="shared" si="0"/>
        <v>1.75</v>
      </c>
      <c r="J7" s="31">
        <f t="shared" si="0"/>
        <v>1.75</v>
      </c>
      <c r="K7" s="31">
        <f t="shared" si="0"/>
        <v>1.75</v>
      </c>
      <c r="L7" s="31">
        <f t="shared" si="0"/>
        <v>1.75</v>
      </c>
      <c r="M7" s="31">
        <f t="shared" si="0"/>
        <v>1.75</v>
      </c>
    </row>
    <row r="8" spans="1:13" ht="12.75">
      <c r="A8" s="24">
        <v>4</v>
      </c>
      <c r="B8" s="25" t="s">
        <v>442</v>
      </c>
      <c r="C8" s="20" t="s">
        <v>52</v>
      </c>
      <c r="D8" s="20" t="s">
        <v>118</v>
      </c>
      <c r="E8" s="26" t="s">
        <v>64</v>
      </c>
      <c r="F8" s="28">
        <v>1.25</v>
      </c>
      <c r="G8" s="32">
        <v>2009</v>
      </c>
      <c r="I8" s="31">
        <f t="shared" si="0"/>
        <v>1.25</v>
      </c>
      <c r="J8" s="31">
        <f t="shared" si="0"/>
        <v>1.25</v>
      </c>
      <c r="K8" s="31">
        <f t="shared" si="0"/>
        <v>1.25</v>
      </c>
      <c r="L8" s="31">
        <f t="shared" si="0"/>
        <v>1.25</v>
      </c>
      <c r="M8" s="31">
        <f t="shared" si="0"/>
        <v>1.25</v>
      </c>
    </row>
    <row r="9" spans="1:13" ht="12.75">
      <c r="A9" s="24">
        <v>5</v>
      </c>
      <c r="B9" s="25" t="s">
        <v>283</v>
      </c>
      <c r="C9" s="20" t="s">
        <v>48</v>
      </c>
      <c r="D9" s="20" t="s">
        <v>153</v>
      </c>
      <c r="E9" s="26" t="s">
        <v>64</v>
      </c>
      <c r="F9" s="28">
        <v>2.2</v>
      </c>
      <c r="G9" s="32">
        <v>2008</v>
      </c>
      <c r="I9" s="31">
        <f t="shared" si="0"/>
        <v>2.2</v>
      </c>
      <c r="J9" s="31">
        <f t="shared" si="0"/>
        <v>2.2</v>
      </c>
      <c r="K9" s="31">
        <f t="shared" si="0"/>
        <v>2.2</v>
      </c>
      <c r="L9" s="31">
        <f t="shared" si="0"/>
        <v>2.2</v>
      </c>
      <c r="M9" s="31">
        <f t="shared" si="0"/>
        <v>0</v>
      </c>
    </row>
    <row r="10" spans="1:13" ht="12.75">
      <c r="A10" s="24">
        <v>6</v>
      </c>
      <c r="B10" s="19" t="s">
        <v>371</v>
      </c>
      <c r="C10" s="20" t="s">
        <v>52</v>
      </c>
      <c r="D10" s="20" t="s">
        <v>80</v>
      </c>
      <c r="E10" s="20" t="s">
        <v>64</v>
      </c>
      <c r="F10" s="33">
        <v>1.5</v>
      </c>
      <c r="G10" s="34">
        <v>2008</v>
      </c>
      <c r="I10" s="31">
        <f t="shared" si="0"/>
        <v>1.5</v>
      </c>
      <c r="J10" s="31">
        <f t="shared" si="0"/>
        <v>1.5</v>
      </c>
      <c r="K10" s="31">
        <f t="shared" si="0"/>
        <v>1.5</v>
      </c>
      <c r="L10" s="31">
        <f t="shared" si="0"/>
        <v>1.5</v>
      </c>
      <c r="M10" s="31">
        <f t="shared" si="0"/>
        <v>0</v>
      </c>
    </row>
    <row r="11" spans="1:13" ht="12.75">
      <c r="A11" s="24">
        <v>7</v>
      </c>
      <c r="B11" s="19" t="s">
        <v>391</v>
      </c>
      <c r="C11" s="20" t="s">
        <v>49</v>
      </c>
      <c r="D11" s="20" t="s">
        <v>76</v>
      </c>
      <c r="E11" s="20" t="s">
        <v>64</v>
      </c>
      <c r="F11" s="33">
        <v>1.1</v>
      </c>
      <c r="G11" s="34">
        <v>2008</v>
      </c>
      <c r="I11" s="31">
        <f t="shared" si="0"/>
        <v>1.1</v>
      </c>
      <c r="J11" s="31">
        <f t="shared" si="0"/>
        <v>1.1</v>
      </c>
      <c r="K11" s="31">
        <f t="shared" si="0"/>
        <v>1.1</v>
      </c>
      <c r="L11" s="31">
        <f t="shared" si="0"/>
        <v>1.1</v>
      </c>
      <c r="M11" s="31">
        <f t="shared" si="0"/>
        <v>0</v>
      </c>
    </row>
    <row r="12" spans="1:13" ht="12.75">
      <c r="A12" s="24">
        <v>8</v>
      </c>
      <c r="B12" s="25" t="s">
        <v>281</v>
      </c>
      <c r="C12" s="20" t="s">
        <v>48</v>
      </c>
      <c r="D12" s="20" t="s">
        <v>63</v>
      </c>
      <c r="E12" s="26" t="s">
        <v>64</v>
      </c>
      <c r="F12" s="28">
        <v>30.6</v>
      </c>
      <c r="G12" s="30">
        <v>2007</v>
      </c>
      <c r="I12" s="31">
        <f t="shared" si="0"/>
        <v>30.6</v>
      </c>
      <c r="J12" s="31">
        <f t="shared" si="0"/>
        <v>30.6</v>
      </c>
      <c r="K12" s="31">
        <f t="shared" si="0"/>
        <v>30.6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25" t="s">
        <v>282</v>
      </c>
      <c r="C13" s="20" t="s">
        <v>47</v>
      </c>
      <c r="D13" s="20" t="s">
        <v>153</v>
      </c>
      <c r="E13" s="26" t="s">
        <v>64</v>
      </c>
      <c r="F13" s="28">
        <v>4.5</v>
      </c>
      <c r="G13" s="32">
        <v>2007</v>
      </c>
      <c r="I13" s="31">
        <f t="shared" si="0"/>
        <v>4.5</v>
      </c>
      <c r="J13" s="31">
        <f t="shared" si="0"/>
        <v>4.5</v>
      </c>
      <c r="K13" s="31">
        <f t="shared" si="0"/>
        <v>4.5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25" t="s">
        <v>572</v>
      </c>
      <c r="C14" s="20" t="s">
        <v>53</v>
      </c>
      <c r="D14" s="20" t="s">
        <v>63</v>
      </c>
      <c r="E14" s="26" t="s">
        <v>64</v>
      </c>
      <c r="F14" s="28">
        <v>2.5</v>
      </c>
      <c r="G14" s="32">
        <v>2007</v>
      </c>
      <c r="I14" s="31">
        <f t="shared" si="0"/>
        <v>2.5</v>
      </c>
      <c r="J14" s="31">
        <f t="shared" si="0"/>
        <v>2.5</v>
      </c>
      <c r="K14" s="31">
        <f t="shared" si="0"/>
        <v>2.5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19" t="s">
        <v>516</v>
      </c>
      <c r="C15" s="20" t="s">
        <v>51</v>
      </c>
      <c r="D15" s="20" t="s">
        <v>93</v>
      </c>
      <c r="E15" s="26" t="s">
        <v>64</v>
      </c>
      <c r="F15" s="33">
        <v>2.2</v>
      </c>
      <c r="G15" s="34">
        <v>2007</v>
      </c>
      <c r="I15" s="31">
        <f aca="true" t="shared" si="1" ref="I15:M29">+IF($G15&gt;=I$3,$F15,0)</f>
        <v>2.2</v>
      </c>
      <c r="J15" s="31">
        <f t="shared" si="1"/>
        <v>2.2</v>
      </c>
      <c r="K15" s="31">
        <f t="shared" si="1"/>
        <v>2.2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25" t="s">
        <v>354</v>
      </c>
      <c r="C16" s="20" t="s">
        <v>53</v>
      </c>
      <c r="D16" s="20" t="s">
        <v>113</v>
      </c>
      <c r="E16" s="26" t="s">
        <v>64</v>
      </c>
      <c r="F16" s="28">
        <v>2.25</v>
      </c>
      <c r="G16" s="32">
        <v>2006</v>
      </c>
      <c r="I16" s="31">
        <f t="shared" si="1"/>
        <v>2.25</v>
      </c>
      <c r="J16" s="31">
        <f t="shared" si="1"/>
        <v>2.25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19" t="s">
        <v>370</v>
      </c>
      <c r="C17" s="20" t="s">
        <v>47</v>
      </c>
      <c r="D17" s="20" t="s">
        <v>153</v>
      </c>
      <c r="E17" s="20" t="s">
        <v>64</v>
      </c>
      <c r="F17" s="33">
        <v>1.1</v>
      </c>
      <c r="G17" s="34">
        <v>2006</v>
      </c>
      <c r="I17" s="31">
        <f t="shared" si="1"/>
        <v>1.1</v>
      </c>
      <c r="J17" s="31">
        <f t="shared" si="1"/>
        <v>1.1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461</v>
      </c>
      <c r="C18" s="20" t="s">
        <v>50</v>
      </c>
      <c r="D18" s="20" t="s">
        <v>118</v>
      </c>
      <c r="E18" s="26" t="s">
        <v>64</v>
      </c>
      <c r="F18" s="28">
        <v>17.65</v>
      </c>
      <c r="G18" s="32">
        <v>2005</v>
      </c>
      <c r="I18" s="31">
        <f t="shared" si="1"/>
        <v>17.65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25" t="s">
        <v>522</v>
      </c>
      <c r="C19" s="20" t="s">
        <v>49</v>
      </c>
      <c r="D19" s="20" t="s">
        <v>68</v>
      </c>
      <c r="E19" s="26" t="s">
        <v>64</v>
      </c>
      <c r="F19" s="28">
        <v>16.05</v>
      </c>
      <c r="G19" s="32">
        <v>2005</v>
      </c>
      <c r="I19" s="31">
        <f t="shared" si="1"/>
        <v>16.05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460</v>
      </c>
      <c r="C20" s="20" t="s">
        <v>52</v>
      </c>
      <c r="D20" s="20" t="s">
        <v>70</v>
      </c>
      <c r="E20" s="26" t="s">
        <v>64</v>
      </c>
      <c r="F20" s="28">
        <v>8.6</v>
      </c>
      <c r="G20" s="32">
        <v>2005</v>
      </c>
      <c r="I20" s="31">
        <f t="shared" si="1"/>
        <v>8.6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25" t="s">
        <v>553</v>
      </c>
      <c r="C21" s="20" t="s">
        <v>48</v>
      </c>
      <c r="D21" s="20" t="s">
        <v>80</v>
      </c>
      <c r="E21" s="26" t="s">
        <v>64</v>
      </c>
      <c r="F21" s="28">
        <v>8.15</v>
      </c>
      <c r="G21" s="32">
        <v>2005</v>
      </c>
      <c r="I21" s="31">
        <f t="shared" si="1"/>
        <v>8.15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25" t="s">
        <v>406</v>
      </c>
      <c r="C22" s="20" t="s">
        <v>53</v>
      </c>
      <c r="D22" s="20" t="s">
        <v>108</v>
      </c>
      <c r="E22" s="26" t="s">
        <v>402</v>
      </c>
      <c r="F22" s="28">
        <v>5.9</v>
      </c>
      <c r="G22" s="30">
        <v>2005</v>
      </c>
      <c r="I22" s="31">
        <f t="shared" si="1"/>
        <v>5.9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25" t="s">
        <v>355</v>
      </c>
      <c r="C23" s="20" t="s">
        <v>52</v>
      </c>
      <c r="D23" s="20" t="s">
        <v>150</v>
      </c>
      <c r="E23" s="26" t="s">
        <v>64</v>
      </c>
      <c r="F23" s="28">
        <v>3.5</v>
      </c>
      <c r="G23" s="32">
        <v>2005</v>
      </c>
      <c r="I23" s="31">
        <f t="shared" si="1"/>
        <v>3.5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25" t="s">
        <v>704</v>
      </c>
      <c r="C24" s="20" t="s">
        <v>52</v>
      </c>
      <c r="D24" s="20" t="s">
        <v>150</v>
      </c>
      <c r="E24" s="26" t="s">
        <v>64</v>
      </c>
      <c r="F24" s="28">
        <v>1.25</v>
      </c>
      <c r="G24" s="32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25" t="s">
        <v>601</v>
      </c>
      <c r="C25" s="20" t="s">
        <v>49</v>
      </c>
      <c r="D25" s="20" t="s">
        <v>223</v>
      </c>
      <c r="E25" s="26" t="s">
        <v>64</v>
      </c>
      <c r="F25" s="28">
        <v>1.25</v>
      </c>
      <c r="G25" s="32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25" t="s">
        <v>644</v>
      </c>
      <c r="C26" s="20" t="s">
        <v>47</v>
      </c>
      <c r="D26" s="20" t="s">
        <v>116</v>
      </c>
      <c r="E26" s="26" t="s">
        <v>64</v>
      </c>
      <c r="F26" s="28">
        <v>1.25</v>
      </c>
      <c r="G26" s="32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19" t="s">
        <v>602</v>
      </c>
      <c r="C27" s="20" t="s">
        <v>50</v>
      </c>
      <c r="D27" s="20" t="s">
        <v>99</v>
      </c>
      <c r="E27" s="20" t="s">
        <v>64</v>
      </c>
      <c r="F27" s="33">
        <v>1.25</v>
      </c>
      <c r="G27" s="34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615</v>
      </c>
      <c r="C28" s="20" t="s">
        <v>52</v>
      </c>
      <c r="D28" s="20" t="s">
        <v>68</v>
      </c>
      <c r="E28" s="20" t="s">
        <v>64</v>
      </c>
      <c r="F28" s="33">
        <v>1.25</v>
      </c>
      <c r="G28" s="34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19" t="s">
        <v>621</v>
      </c>
      <c r="C29" s="20" t="s">
        <v>53</v>
      </c>
      <c r="D29" s="20" t="s">
        <v>138</v>
      </c>
      <c r="E29" s="20" t="s">
        <v>64</v>
      </c>
      <c r="F29" s="33">
        <v>1.25</v>
      </c>
      <c r="G29" s="34">
        <v>2005</v>
      </c>
      <c r="I29" s="31">
        <f t="shared" si="1"/>
        <v>1.25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4:13" ht="12.75">
      <c r="D31" s="20"/>
      <c r="E31" s="20"/>
      <c r="F31" s="33"/>
      <c r="G31" s="34"/>
      <c r="I31" s="36">
        <f>+SUM(I5:I29)</f>
        <v>139.29999999999998</v>
      </c>
      <c r="J31" s="36">
        <f>+SUM(J5:J29)</f>
        <v>71.95</v>
      </c>
      <c r="K31" s="36">
        <f>+SUM(K5:K29)</f>
        <v>68.60000000000001</v>
      </c>
      <c r="L31" s="36">
        <f>+SUM(L5:L29)</f>
        <v>28.8</v>
      </c>
      <c r="M31" s="36">
        <f>+SUM(M5:M29)</f>
        <v>24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25" t="s">
        <v>284</v>
      </c>
      <c r="C37" s="20" t="s">
        <v>49</v>
      </c>
      <c r="D37" s="20" t="s">
        <v>108</v>
      </c>
      <c r="E37" s="26">
        <v>2005</v>
      </c>
      <c r="F37" s="28">
        <v>1.1</v>
      </c>
      <c r="G37" s="32">
        <v>2008</v>
      </c>
      <c r="I37" s="31">
        <f aca="true" t="shared" si="2" ref="I37:I46">+CEILING(IF($I$35=E37,F37,IF($I$35&lt;=G37,F37*0.3,0)),0.05)</f>
        <v>1.1</v>
      </c>
      <c r="J37" s="31">
        <f aca="true" t="shared" si="3" ref="J37:J46">+CEILING(IF($J$35&lt;=G37,F37*0.3,0),0.05)</f>
        <v>0.35000000000000003</v>
      </c>
      <c r="K37" s="31">
        <f aca="true" t="shared" si="4" ref="K37:K46">+CEILING(IF($K$35&lt;=G37,F37*0.3,0),0.05)</f>
        <v>0.35000000000000003</v>
      </c>
      <c r="L37" s="31">
        <f aca="true" t="shared" si="5" ref="L37:L46">+CEILING(IF($L$35&lt;=G37,F37*0.3,0),0.05)</f>
        <v>0.35000000000000003</v>
      </c>
      <c r="M37" s="31">
        <f aca="true" t="shared" si="6" ref="M37:M46">CEILING(IF($M$35&lt;=G37,F37*0.3,0),0.05)</f>
        <v>0</v>
      </c>
    </row>
    <row r="38" spans="1:13" ht="12.75">
      <c r="A38" s="24">
        <v>2</v>
      </c>
      <c r="B38" s="19" t="s">
        <v>356</v>
      </c>
      <c r="C38" s="20" t="s">
        <v>49</v>
      </c>
      <c r="D38" s="20" t="s">
        <v>73</v>
      </c>
      <c r="E38" s="26">
        <v>2004</v>
      </c>
      <c r="F38" s="33">
        <v>3.2</v>
      </c>
      <c r="G38" s="34">
        <v>2005</v>
      </c>
      <c r="I38" s="31">
        <f t="shared" si="2"/>
        <v>1</v>
      </c>
      <c r="J38" s="31">
        <f t="shared" si="3"/>
        <v>0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4">
        <v>3</v>
      </c>
      <c r="B39" s="25" t="s">
        <v>496</v>
      </c>
      <c r="C39" s="20" t="s">
        <v>47</v>
      </c>
      <c r="D39" s="20" t="s">
        <v>138</v>
      </c>
      <c r="E39" s="26">
        <v>2005</v>
      </c>
      <c r="F39" s="28">
        <v>1.25</v>
      </c>
      <c r="G39" s="32">
        <v>2005</v>
      </c>
      <c r="I39" s="31">
        <f t="shared" si="2"/>
        <v>1.25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D40" s="20"/>
      <c r="E40" s="20"/>
      <c r="F40" s="33"/>
      <c r="G40" s="34"/>
      <c r="I40" s="31">
        <f t="shared" si="2"/>
        <v>0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D41" s="20"/>
      <c r="E41" s="20"/>
      <c r="F41" s="33"/>
      <c r="G41" s="34"/>
      <c r="I41" s="31">
        <f t="shared" si="2"/>
        <v>0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25"/>
      <c r="D42" s="20"/>
      <c r="E42" s="26"/>
      <c r="F42" s="28"/>
      <c r="G42" s="32"/>
      <c r="I42" s="31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D43" s="20"/>
      <c r="E43" s="20"/>
      <c r="F43" s="33"/>
      <c r="G43" s="34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D44" s="20"/>
      <c r="E44" s="20"/>
      <c r="F44" s="33"/>
      <c r="G44" s="34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4">
        <v>9</v>
      </c>
      <c r="D45" s="20"/>
      <c r="E45" s="20"/>
      <c r="F45" s="33"/>
      <c r="G45" s="34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4">
        <v>10</v>
      </c>
      <c r="D46" s="20"/>
      <c r="E46" s="20"/>
      <c r="F46" s="33"/>
      <c r="G46" s="34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5"/>
      <c r="J47" s="25"/>
      <c r="K47" s="25"/>
      <c r="L47" s="25"/>
      <c r="M47" s="25"/>
    </row>
    <row r="48" spans="9:13" ht="12.75">
      <c r="I48" s="36">
        <f>+SUM(I37:I47)</f>
        <v>3.35</v>
      </c>
      <c r="J48" s="36">
        <f>+SUM(J37:J47)</f>
        <v>0.35000000000000003</v>
      </c>
      <c r="K48" s="36">
        <f>+SUM(K37:K47)</f>
        <v>0.35000000000000003</v>
      </c>
      <c r="L48" s="36">
        <f>+SUM(L37:L47)</f>
        <v>0.35000000000000003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0" t="s">
        <v>87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9:13" ht="7.5" customHeight="1">
      <c r="I51" s="37"/>
      <c r="J51" s="37"/>
      <c r="K51" s="37"/>
      <c r="L51" s="37"/>
      <c r="M51" s="37"/>
    </row>
    <row r="52" spans="1:13" ht="12.75">
      <c r="A52" s="24"/>
      <c r="B52" s="21" t="s">
        <v>88</v>
      </c>
      <c r="C52" s="22"/>
      <c r="D52" s="22"/>
      <c r="E52" s="22"/>
      <c r="F52" s="22" t="s">
        <v>89</v>
      </c>
      <c r="G52" s="22" t="s">
        <v>27</v>
      </c>
      <c r="I52" s="23">
        <f>+I$3</f>
        <v>2005</v>
      </c>
      <c r="J52" s="23">
        <f>+J$3</f>
        <v>2006</v>
      </c>
      <c r="K52" s="23">
        <f>+K$3</f>
        <v>2007</v>
      </c>
      <c r="L52" s="23">
        <f>+L$3</f>
        <v>2008</v>
      </c>
      <c r="M52" s="23">
        <f>+M$3</f>
        <v>2009</v>
      </c>
    </row>
    <row r="53" spans="1:13" ht="7.5" customHeight="1">
      <c r="A53" s="24"/>
      <c r="I53" s="38"/>
      <c r="J53" s="38"/>
      <c r="K53" s="38"/>
      <c r="L53" s="38"/>
      <c r="M53" s="38"/>
    </row>
    <row r="54" spans="1:13" ht="12.75">
      <c r="A54" s="24">
        <v>1</v>
      </c>
      <c r="B54" s="48"/>
      <c r="C54" s="48"/>
      <c r="D54" s="48"/>
      <c r="E54" s="48"/>
      <c r="F54" s="27"/>
      <c r="G54" s="20"/>
      <c r="I54" s="41">
        <v>0</v>
      </c>
      <c r="J54" s="41">
        <v>0</v>
      </c>
      <c r="K54" s="41">
        <v>0</v>
      </c>
      <c r="L54" s="41">
        <v>0</v>
      </c>
      <c r="M54" s="41">
        <v>0</v>
      </c>
    </row>
    <row r="55" spans="1:13" ht="12.75">
      <c r="A55" s="24">
        <v>2</v>
      </c>
      <c r="B55" s="48"/>
      <c r="C55" s="48"/>
      <c r="D55" s="48"/>
      <c r="E55" s="48"/>
      <c r="I55" s="38"/>
      <c r="J55" s="38"/>
      <c r="K55" s="38"/>
      <c r="L55" s="38"/>
      <c r="M55" s="38"/>
    </row>
    <row r="56" spans="1:13" ht="7.5" customHeight="1">
      <c r="A56" s="24"/>
      <c r="I56" s="38"/>
      <c r="J56" s="38"/>
      <c r="K56" s="38"/>
      <c r="L56" s="38"/>
      <c r="M56" s="38"/>
    </row>
    <row r="57" spans="1:13" ht="12.75">
      <c r="A57" s="24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A1:M1"/>
    <mergeCell ref="B54:E54"/>
    <mergeCell ref="B55:E55"/>
    <mergeCell ref="A33:M33"/>
    <mergeCell ref="A50:M50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25" t="s">
        <v>482</v>
      </c>
      <c r="C5" s="20" t="s">
        <v>48</v>
      </c>
      <c r="D5" s="20" t="s">
        <v>116</v>
      </c>
      <c r="E5" s="26" t="s">
        <v>64</v>
      </c>
      <c r="F5" s="28">
        <v>18.25</v>
      </c>
      <c r="G5" s="32">
        <v>2009</v>
      </c>
      <c r="I5" s="31">
        <f aca="true" t="shared" si="0" ref="I5:M14">+IF($G5&gt;=I$3,$F5,0)</f>
        <v>18.25</v>
      </c>
      <c r="J5" s="31">
        <f t="shared" si="0"/>
        <v>18.25</v>
      </c>
      <c r="K5" s="31">
        <f t="shared" si="0"/>
        <v>18.25</v>
      </c>
      <c r="L5" s="31">
        <f t="shared" si="0"/>
        <v>18.25</v>
      </c>
      <c r="M5" s="31">
        <f t="shared" si="0"/>
        <v>18.25</v>
      </c>
    </row>
    <row r="6" spans="1:13" ht="12.75">
      <c r="A6" s="24">
        <v>2</v>
      </c>
      <c r="B6" s="19" t="s">
        <v>414</v>
      </c>
      <c r="C6" s="20" t="s">
        <v>48</v>
      </c>
      <c r="D6" s="20" t="s">
        <v>138</v>
      </c>
      <c r="E6" s="20" t="s">
        <v>64</v>
      </c>
      <c r="F6" s="33">
        <v>8.5</v>
      </c>
      <c r="G6" s="34">
        <v>2009</v>
      </c>
      <c r="I6" s="31">
        <f t="shared" si="0"/>
        <v>8.5</v>
      </c>
      <c r="J6" s="31">
        <f t="shared" si="0"/>
        <v>8.5</v>
      </c>
      <c r="K6" s="31">
        <f t="shared" si="0"/>
        <v>8.5</v>
      </c>
      <c r="L6" s="31">
        <f t="shared" si="0"/>
        <v>8.5</v>
      </c>
      <c r="M6" s="31">
        <f t="shared" si="0"/>
        <v>8.5</v>
      </c>
    </row>
    <row r="7" spans="1:13" ht="12.75">
      <c r="A7" s="24">
        <v>3</v>
      </c>
      <c r="B7" s="19" t="s">
        <v>526</v>
      </c>
      <c r="C7" s="20" t="s">
        <v>52</v>
      </c>
      <c r="D7" s="20" t="s">
        <v>146</v>
      </c>
      <c r="E7" s="20" t="s">
        <v>64</v>
      </c>
      <c r="F7" s="33">
        <v>6.5</v>
      </c>
      <c r="G7" s="34">
        <v>2009</v>
      </c>
      <c r="I7" s="31">
        <f t="shared" si="0"/>
        <v>6.5</v>
      </c>
      <c r="J7" s="31">
        <f t="shared" si="0"/>
        <v>6.5</v>
      </c>
      <c r="K7" s="31">
        <f t="shared" si="0"/>
        <v>6.5</v>
      </c>
      <c r="L7" s="31">
        <f t="shared" si="0"/>
        <v>6.5</v>
      </c>
      <c r="M7" s="31">
        <f t="shared" si="0"/>
        <v>6.5</v>
      </c>
    </row>
    <row r="8" spans="1:13" ht="12.75">
      <c r="A8" s="24">
        <v>4</v>
      </c>
      <c r="B8" s="25" t="s">
        <v>473</v>
      </c>
      <c r="C8" s="20" t="s">
        <v>52</v>
      </c>
      <c r="D8" s="20" t="s">
        <v>95</v>
      </c>
      <c r="E8" s="26" t="s">
        <v>64</v>
      </c>
      <c r="F8" s="28">
        <v>5.25</v>
      </c>
      <c r="G8" s="32">
        <v>2009</v>
      </c>
      <c r="I8" s="31">
        <f t="shared" si="0"/>
        <v>5.25</v>
      </c>
      <c r="J8" s="31">
        <f t="shared" si="0"/>
        <v>5.25</v>
      </c>
      <c r="K8" s="31">
        <f t="shared" si="0"/>
        <v>5.25</v>
      </c>
      <c r="L8" s="31">
        <f t="shared" si="0"/>
        <v>5.25</v>
      </c>
      <c r="M8" s="31">
        <f t="shared" si="0"/>
        <v>5.25</v>
      </c>
    </row>
    <row r="9" spans="1:13" ht="12.75">
      <c r="A9" s="24">
        <v>5</v>
      </c>
      <c r="B9" s="25" t="s">
        <v>227</v>
      </c>
      <c r="C9" s="20" t="s">
        <v>50</v>
      </c>
      <c r="D9" s="20" t="s">
        <v>223</v>
      </c>
      <c r="E9" s="26" t="s">
        <v>64</v>
      </c>
      <c r="F9" s="28">
        <v>7.15</v>
      </c>
      <c r="G9" s="32">
        <v>2008</v>
      </c>
      <c r="I9" s="31">
        <f t="shared" si="0"/>
        <v>7.15</v>
      </c>
      <c r="J9" s="31">
        <f t="shared" si="0"/>
        <v>7.15</v>
      </c>
      <c r="K9" s="31">
        <f t="shared" si="0"/>
        <v>7.15</v>
      </c>
      <c r="L9" s="31">
        <f t="shared" si="0"/>
        <v>7.15</v>
      </c>
      <c r="M9" s="31">
        <f t="shared" si="0"/>
        <v>0</v>
      </c>
    </row>
    <row r="10" spans="1:13" ht="12.75">
      <c r="A10" s="24">
        <v>6</v>
      </c>
      <c r="B10" s="25" t="s">
        <v>226</v>
      </c>
      <c r="C10" s="20" t="s">
        <v>52</v>
      </c>
      <c r="D10" s="20" t="s">
        <v>169</v>
      </c>
      <c r="E10" s="26" t="s">
        <v>64</v>
      </c>
      <c r="F10" s="28">
        <v>1.1</v>
      </c>
      <c r="G10" s="32">
        <v>2008</v>
      </c>
      <c r="I10" s="31">
        <f t="shared" si="0"/>
        <v>1.1</v>
      </c>
      <c r="J10" s="31">
        <f t="shared" si="0"/>
        <v>1.1</v>
      </c>
      <c r="K10" s="31">
        <f t="shared" si="0"/>
        <v>1.1</v>
      </c>
      <c r="L10" s="31">
        <f t="shared" si="0"/>
        <v>1.1</v>
      </c>
      <c r="M10" s="31">
        <f t="shared" si="0"/>
        <v>0</v>
      </c>
    </row>
    <row r="11" spans="1:13" ht="12.75">
      <c r="A11" s="24">
        <v>7</v>
      </c>
      <c r="B11" s="19" t="s">
        <v>343</v>
      </c>
      <c r="C11" s="20" t="s">
        <v>47</v>
      </c>
      <c r="D11" s="20" t="s">
        <v>108</v>
      </c>
      <c r="E11" s="20" t="s">
        <v>64</v>
      </c>
      <c r="F11" s="33">
        <v>25</v>
      </c>
      <c r="G11" s="34">
        <v>2007</v>
      </c>
      <c r="I11" s="31">
        <f t="shared" si="0"/>
        <v>25</v>
      </c>
      <c r="J11" s="31">
        <f t="shared" si="0"/>
        <v>25</v>
      </c>
      <c r="K11" s="31">
        <f t="shared" si="0"/>
        <v>25</v>
      </c>
      <c r="L11" s="31">
        <f t="shared" si="0"/>
        <v>0</v>
      </c>
      <c r="M11" s="31">
        <f t="shared" si="0"/>
        <v>0</v>
      </c>
    </row>
    <row r="12" spans="1:13" ht="12.75">
      <c r="A12" s="24">
        <v>8</v>
      </c>
      <c r="B12" s="19" t="s">
        <v>341</v>
      </c>
      <c r="C12" s="20" t="s">
        <v>49</v>
      </c>
      <c r="D12" s="20" t="s">
        <v>66</v>
      </c>
      <c r="E12" s="20" t="s">
        <v>64</v>
      </c>
      <c r="F12" s="33">
        <v>3.45</v>
      </c>
      <c r="G12" s="34">
        <v>2007</v>
      </c>
      <c r="I12" s="31">
        <f t="shared" si="0"/>
        <v>3.45</v>
      </c>
      <c r="J12" s="31">
        <f t="shared" si="0"/>
        <v>3.45</v>
      </c>
      <c r="K12" s="31">
        <f t="shared" si="0"/>
        <v>3.45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19" t="s">
        <v>342</v>
      </c>
      <c r="C13" s="20" t="s">
        <v>50</v>
      </c>
      <c r="D13" s="20" t="s">
        <v>108</v>
      </c>
      <c r="E13" s="20" t="s">
        <v>64</v>
      </c>
      <c r="F13" s="33">
        <v>2.4</v>
      </c>
      <c r="G13" s="34">
        <v>2007</v>
      </c>
      <c r="I13" s="31">
        <f t="shared" si="0"/>
        <v>2.4</v>
      </c>
      <c r="J13" s="31">
        <f t="shared" si="0"/>
        <v>2.4</v>
      </c>
      <c r="K13" s="31">
        <f t="shared" si="0"/>
        <v>2.4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25" t="s">
        <v>157</v>
      </c>
      <c r="C14" s="20" t="s">
        <v>53</v>
      </c>
      <c r="D14" s="20" t="s">
        <v>73</v>
      </c>
      <c r="E14" s="26" t="s">
        <v>64</v>
      </c>
      <c r="F14" s="28">
        <v>1.6</v>
      </c>
      <c r="G14" s="32">
        <v>2007</v>
      </c>
      <c r="I14" s="31">
        <f t="shared" si="0"/>
        <v>1.6</v>
      </c>
      <c r="J14" s="31">
        <f t="shared" si="0"/>
        <v>1.6</v>
      </c>
      <c r="K14" s="31">
        <f t="shared" si="0"/>
        <v>1.6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25" t="s">
        <v>220</v>
      </c>
      <c r="C15" s="20" t="s">
        <v>47</v>
      </c>
      <c r="D15" s="20" t="s">
        <v>95</v>
      </c>
      <c r="E15" s="26" t="s">
        <v>64</v>
      </c>
      <c r="F15" s="28">
        <v>1</v>
      </c>
      <c r="G15" s="32">
        <v>2007</v>
      </c>
      <c r="I15" s="31">
        <f aca="true" t="shared" si="1" ref="I15:M29">+IF($G15&gt;=I$3,$F15,0)</f>
        <v>1</v>
      </c>
      <c r="J15" s="31">
        <f t="shared" si="1"/>
        <v>1</v>
      </c>
      <c r="K15" s="31">
        <f t="shared" si="1"/>
        <v>1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25" t="s">
        <v>177</v>
      </c>
      <c r="C16" s="20" t="s">
        <v>49</v>
      </c>
      <c r="D16" s="20" t="s">
        <v>100</v>
      </c>
      <c r="E16" s="26" t="s">
        <v>64</v>
      </c>
      <c r="F16" s="28">
        <v>17.2</v>
      </c>
      <c r="G16" s="30">
        <v>2006</v>
      </c>
      <c r="I16" s="31">
        <f t="shared" si="1"/>
        <v>17.2</v>
      </c>
      <c r="J16" s="31">
        <f t="shared" si="1"/>
        <v>17.2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19" t="s">
        <v>497</v>
      </c>
      <c r="C17" s="20" t="s">
        <v>48</v>
      </c>
      <c r="D17" s="20" t="s">
        <v>77</v>
      </c>
      <c r="E17" s="20" t="s">
        <v>64</v>
      </c>
      <c r="F17" s="33">
        <v>9.3</v>
      </c>
      <c r="G17" s="34">
        <v>2006</v>
      </c>
      <c r="I17" s="31">
        <f t="shared" si="1"/>
        <v>9.3</v>
      </c>
      <c r="J17" s="31">
        <f t="shared" si="1"/>
        <v>9.3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420</v>
      </c>
      <c r="C18" s="20" t="s">
        <v>49</v>
      </c>
      <c r="D18" s="20" t="s">
        <v>84</v>
      </c>
      <c r="E18" s="26" t="s">
        <v>402</v>
      </c>
      <c r="F18" s="28">
        <v>20.2</v>
      </c>
      <c r="G18" s="32">
        <v>2005</v>
      </c>
      <c r="I18" s="31">
        <f aca="true" t="shared" si="2" ref="I18:M22">+IF($G18&gt;=I$3,$F18,0)</f>
        <v>20.2</v>
      </c>
      <c r="J18" s="31">
        <f t="shared" si="2"/>
        <v>0</v>
      </c>
      <c r="K18" s="31">
        <f t="shared" si="2"/>
        <v>0</v>
      </c>
      <c r="L18" s="31">
        <f t="shared" si="2"/>
        <v>0</v>
      </c>
      <c r="M18" s="31">
        <f t="shared" si="2"/>
        <v>0</v>
      </c>
    </row>
    <row r="19" spans="1:13" ht="12.75">
      <c r="A19" s="24">
        <v>15</v>
      </c>
      <c r="B19" s="25" t="s">
        <v>426</v>
      </c>
      <c r="C19" s="20" t="s">
        <v>48</v>
      </c>
      <c r="D19" s="20" t="s">
        <v>82</v>
      </c>
      <c r="E19" s="26" t="s">
        <v>64</v>
      </c>
      <c r="F19" s="28">
        <v>3.35</v>
      </c>
      <c r="G19" s="32">
        <v>2005</v>
      </c>
      <c r="I19" s="31">
        <f t="shared" si="2"/>
        <v>3.35</v>
      </c>
      <c r="J19" s="31">
        <f t="shared" si="2"/>
        <v>0</v>
      </c>
      <c r="K19" s="31">
        <f t="shared" si="2"/>
        <v>0</v>
      </c>
      <c r="L19" s="31">
        <f t="shared" si="2"/>
        <v>0</v>
      </c>
      <c r="M19" s="31">
        <f t="shared" si="2"/>
        <v>0</v>
      </c>
    </row>
    <row r="20" spans="1:13" ht="12.75">
      <c r="A20" s="24">
        <v>16</v>
      </c>
      <c r="B20" s="25" t="s">
        <v>224</v>
      </c>
      <c r="C20" s="20" t="s">
        <v>49</v>
      </c>
      <c r="D20" s="20" t="s">
        <v>108</v>
      </c>
      <c r="E20" s="26" t="s">
        <v>64</v>
      </c>
      <c r="F20" s="28">
        <v>2.4</v>
      </c>
      <c r="G20" s="32">
        <v>2005</v>
      </c>
      <c r="I20" s="31">
        <f t="shared" si="2"/>
        <v>2.4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0</v>
      </c>
    </row>
    <row r="21" spans="1:13" ht="12.75">
      <c r="A21" s="24">
        <v>17</v>
      </c>
      <c r="B21" s="19" t="s">
        <v>488</v>
      </c>
      <c r="C21" s="20" t="s">
        <v>51</v>
      </c>
      <c r="D21" s="20" t="s">
        <v>63</v>
      </c>
      <c r="E21" s="20" t="s">
        <v>64</v>
      </c>
      <c r="F21" s="33">
        <v>1.75</v>
      </c>
      <c r="G21" s="34">
        <v>2005</v>
      </c>
      <c r="I21" s="31">
        <f t="shared" si="2"/>
        <v>1.75</v>
      </c>
      <c r="J21" s="31">
        <f t="shared" si="2"/>
        <v>0</v>
      </c>
      <c r="K21" s="31">
        <f t="shared" si="2"/>
        <v>0</v>
      </c>
      <c r="L21" s="31">
        <f t="shared" si="2"/>
        <v>0</v>
      </c>
      <c r="M21" s="31">
        <f t="shared" si="2"/>
        <v>0</v>
      </c>
    </row>
    <row r="22" spans="1:13" ht="12.75">
      <c r="A22" s="24">
        <v>18</v>
      </c>
      <c r="B22" s="19" t="s">
        <v>538</v>
      </c>
      <c r="C22" s="20" t="s">
        <v>52</v>
      </c>
      <c r="D22" s="20" t="s">
        <v>108</v>
      </c>
      <c r="E22" s="20" t="s">
        <v>64</v>
      </c>
      <c r="F22" s="33">
        <v>1.5</v>
      </c>
      <c r="G22" s="34">
        <v>2005</v>
      </c>
      <c r="I22" s="31">
        <f t="shared" si="2"/>
        <v>1.5</v>
      </c>
      <c r="J22" s="31">
        <f t="shared" si="2"/>
        <v>0</v>
      </c>
      <c r="K22" s="31">
        <f t="shared" si="2"/>
        <v>0</v>
      </c>
      <c r="L22" s="31">
        <f t="shared" si="2"/>
        <v>0</v>
      </c>
      <c r="M22" s="31">
        <f t="shared" si="2"/>
        <v>0</v>
      </c>
    </row>
    <row r="23" spans="1:13" ht="12.75">
      <c r="A23" s="24">
        <v>19</v>
      </c>
      <c r="B23" s="19" t="s">
        <v>597</v>
      </c>
      <c r="C23" s="20" t="s">
        <v>53</v>
      </c>
      <c r="D23" s="20" t="s">
        <v>76</v>
      </c>
      <c r="E23" s="26" t="s">
        <v>64</v>
      </c>
      <c r="F23" s="28">
        <v>1.25</v>
      </c>
      <c r="G23" s="32">
        <v>2005</v>
      </c>
      <c r="I23" s="31">
        <f t="shared" si="1"/>
        <v>1.25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19" t="s">
        <v>625</v>
      </c>
      <c r="C24" s="20" t="s">
        <v>52</v>
      </c>
      <c r="D24" s="20" t="s">
        <v>93</v>
      </c>
      <c r="E24" s="26" t="s">
        <v>64</v>
      </c>
      <c r="F24" s="28">
        <v>1.25</v>
      </c>
      <c r="G24" s="32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D25" s="20"/>
      <c r="E25" s="20"/>
      <c r="F25" s="33"/>
      <c r="G25" s="34"/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D26" s="20"/>
      <c r="E26" s="20"/>
      <c r="F26" s="33"/>
      <c r="G26" s="34"/>
      <c r="I26" s="31">
        <f t="shared" si="1"/>
        <v>0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25"/>
      <c r="D27" s="20"/>
      <c r="E27" s="26"/>
      <c r="F27" s="28"/>
      <c r="G27" s="30"/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D28" s="20"/>
      <c r="E28" s="20"/>
      <c r="F28" s="33"/>
      <c r="G28" s="34"/>
      <c r="I28" s="31">
        <f t="shared" si="1"/>
        <v>0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D29" s="20"/>
      <c r="E29" s="20"/>
      <c r="F29" s="33"/>
      <c r="G29" s="34"/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2:13" ht="12.75">
      <c r="B31" s="25"/>
      <c r="D31" s="20"/>
      <c r="E31" s="26"/>
      <c r="F31" s="28"/>
      <c r="G31" s="32"/>
      <c r="I31" s="36">
        <f>+SUM(I5:I29)</f>
        <v>138.4</v>
      </c>
      <c r="J31" s="36">
        <f>+SUM(J5:J29)</f>
        <v>106.7</v>
      </c>
      <c r="K31" s="36">
        <f>+SUM(K5:K29)</f>
        <v>80.2</v>
      </c>
      <c r="L31" s="36">
        <f>+SUM(L5:L29)</f>
        <v>46.75</v>
      </c>
      <c r="M31" s="36">
        <f>+SUM(M5:M29)</f>
        <v>38.5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25"/>
      <c r="D37" s="20"/>
      <c r="E37" s="26"/>
      <c r="F37" s="28"/>
      <c r="G37" s="32"/>
      <c r="I37" s="31">
        <f aca="true" t="shared" si="3" ref="I37:I46">+CEILING(IF($I$35=E37,F37,IF($I$35&lt;=G37,F37*0.3,0)),0.05)</f>
        <v>0</v>
      </c>
      <c r="J37" s="31">
        <f aca="true" t="shared" si="4" ref="J37:J46">+CEILING(IF($J$35&lt;=G37,F37*0.3,0),0.05)</f>
        <v>0</v>
      </c>
      <c r="K37" s="31">
        <f aca="true" t="shared" si="5" ref="K37:K46">+CEILING(IF($K$35&lt;=G37,F37*0.3,0),0.05)</f>
        <v>0</v>
      </c>
      <c r="L37" s="31">
        <f aca="true" t="shared" si="6" ref="L37:L46">+CEILING(IF($L$35&lt;=G37,F37*0.3,0),0.05)</f>
        <v>0</v>
      </c>
      <c r="M37" s="31">
        <f aca="true" t="shared" si="7" ref="M37:M46">CEILING(IF($M$35&lt;=G37,F37*0.3,0),0.05)</f>
        <v>0</v>
      </c>
    </row>
    <row r="38" spans="1:13" ht="12.75">
      <c r="A38" s="24">
        <v>2</v>
      </c>
      <c r="B38" s="25"/>
      <c r="D38" s="20"/>
      <c r="E38" s="26"/>
      <c r="F38" s="28"/>
      <c r="G38" s="32"/>
      <c r="I38" s="31">
        <f t="shared" si="3"/>
        <v>0</v>
      </c>
      <c r="J38" s="31">
        <f t="shared" si="4"/>
        <v>0</v>
      </c>
      <c r="K38" s="31">
        <f t="shared" si="5"/>
        <v>0</v>
      </c>
      <c r="L38" s="31">
        <f t="shared" si="6"/>
        <v>0</v>
      </c>
      <c r="M38" s="31">
        <f t="shared" si="7"/>
        <v>0</v>
      </c>
    </row>
    <row r="39" spans="1:13" ht="12.75">
      <c r="A39" s="24">
        <v>3</v>
      </c>
      <c r="D39" s="20"/>
      <c r="E39" s="20"/>
      <c r="F39" s="33"/>
      <c r="G39" s="34"/>
      <c r="I39" s="31">
        <f t="shared" si="3"/>
        <v>0</v>
      </c>
      <c r="J39" s="31">
        <f t="shared" si="4"/>
        <v>0</v>
      </c>
      <c r="K39" s="31">
        <f t="shared" si="5"/>
        <v>0</v>
      </c>
      <c r="L39" s="31">
        <f t="shared" si="6"/>
        <v>0</v>
      </c>
      <c r="M39" s="31">
        <f t="shared" si="7"/>
        <v>0</v>
      </c>
    </row>
    <row r="40" spans="1:13" ht="12.75">
      <c r="A40" s="24">
        <v>4</v>
      </c>
      <c r="D40" s="20"/>
      <c r="E40" s="20"/>
      <c r="F40" s="33"/>
      <c r="G40" s="34"/>
      <c r="I40" s="31">
        <f t="shared" si="3"/>
        <v>0</v>
      </c>
      <c r="J40" s="31">
        <f t="shared" si="4"/>
        <v>0</v>
      </c>
      <c r="K40" s="31">
        <f t="shared" si="5"/>
        <v>0</v>
      </c>
      <c r="L40" s="31">
        <f t="shared" si="6"/>
        <v>0</v>
      </c>
      <c r="M40" s="31">
        <f t="shared" si="7"/>
        <v>0</v>
      </c>
    </row>
    <row r="41" spans="1:13" ht="12.75">
      <c r="A41" s="24">
        <v>5</v>
      </c>
      <c r="B41" s="25"/>
      <c r="D41" s="20"/>
      <c r="E41" s="26"/>
      <c r="F41" s="28"/>
      <c r="G41" s="32"/>
      <c r="I41" s="31">
        <f t="shared" si="3"/>
        <v>0</v>
      </c>
      <c r="J41" s="31">
        <f t="shared" si="4"/>
        <v>0</v>
      </c>
      <c r="K41" s="31">
        <f t="shared" si="5"/>
        <v>0</v>
      </c>
      <c r="L41" s="31">
        <f t="shared" si="6"/>
        <v>0</v>
      </c>
      <c r="M41" s="31">
        <f t="shared" si="7"/>
        <v>0</v>
      </c>
    </row>
    <row r="42" spans="1:13" ht="12.75">
      <c r="A42" s="24">
        <v>6</v>
      </c>
      <c r="B42" s="25"/>
      <c r="D42" s="20"/>
      <c r="E42" s="26"/>
      <c r="F42" s="28"/>
      <c r="G42" s="32"/>
      <c r="I42" s="31">
        <f t="shared" si="3"/>
        <v>0</v>
      </c>
      <c r="J42" s="31">
        <f t="shared" si="4"/>
        <v>0</v>
      </c>
      <c r="K42" s="31">
        <f t="shared" si="5"/>
        <v>0</v>
      </c>
      <c r="L42" s="31">
        <f t="shared" si="6"/>
        <v>0</v>
      </c>
      <c r="M42" s="31">
        <f t="shared" si="7"/>
        <v>0</v>
      </c>
    </row>
    <row r="43" spans="1:13" ht="12.75">
      <c r="A43" s="24">
        <v>7</v>
      </c>
      <c r="B43" s="25"/>
      <c r="D43" s="20"/>
      <c r="E43" s="26"/>
      <c r="F43" s="28"/>
      <c r="G43" s="32"/>
      <c r="I43" s="31">
        <f t="shared" si="3"/>
        <v>0</v>
      </c>
      <c r="J43" s="31">
        <f t="shared" si="4"/>
        <v>0</v>
      </c>
      <c r="K43" s="31">
        <f t="shared" si="5"/>
        <v>0</v>
      </c>
      <c r="L43" s="31">
        <f t="shared" si="6"/>
        <v>0</v>
      </c>
      <c r="M43" s="31">
        <f t="shared" si="7"/>
        <v>0</v>
      </c>
    </row>
    <row r="44" spans="1:13" ht="12.75">
      <c r="A44" s="24">
        <v>8</v>
      </c>
      <c r="B44" s="25"/>
      <c r="D44" s="20"/>
      <c r="E44" s="26"/>
      <c r="F44" s="28"/>
      <c r="G44" s="32"/>
      <c r="I44" s="31">
        <f t="shared" si="3"/>
        <v>0</v>
      </c>
      <c r="J44" s="31">
        <f t="shared" si="4"/>
        <v>0</v>
      </c>
      <c r="K44" s="31">
        <f t="shared" si="5"/>
        <v>0</v>
      </c>
      <c r="L44" s="31">
        <f t="shared" si="6"/>
        <v>0</v>
      </c>
      <c r="M44" s="31">
        <f t="shared" si="7"/>
        <v>0</v>
      </c>
    </row>
    <row r="45" spans="1:13" ht="12.75">
      <c r="A45" s="24">
        <v>9</v>
      </c>
      <c r="D45" s="20"/>
      <c r="E45" s="20"/>
      <c r="F45" s="33"/>
      <c r="G45" s="34"/>
      <c r="I45" s="31">
        <f t="shared" si="3"/>
        <v>0</v>
      </c>
      <c r="J45" s="31">
        <f t="shared" si="4"/>
        <v>0</v>
      </c>
      <c r="K45" s="31">
        <f t="shared" si="5"/>
        <v>0</v>
      </c>
      <c r="L45" s="31">
        <f t="shared" si="6"/>
        <v>0</v>
      </c>
      <c r="M45" s="31">
        <f t="shared" si="7"/>
        <v>0</v>
      </c>
    </row>
    <row r="46" spans="1:13" ht="12.75">
      <c r="A46" s="24">
        <v>10</v>
      </c>
      <c r="B46" s="25"/>
      <c r="D46" s="20"/>
      <c r="E46" s="26"/>
      <c r="F46" s="28"/>
      <c r="G46" s="32"/>
      <c r="I46" s="31">
        <f t="shared" si="3"/>
        <v>0</v>
      </c>
      <c r="J46" s="31">
        <f t="shared" si="4"/>
        <v>0</v>
      </c>
      <c r="K46" s="31">
        <f t="shared" si="5"/>
        <v>0</v>
      </c>
      <c r="L46" s="31">
        <f t="shared" si="6"/>
        <v>0</v>
      </c>
      <c r="M46" s="31">
        <f t="shared" si="7"/>
        <v>0</v>
      </c>
    </row>
    <row r="47" spans="9:13" ht="7.5" customHeight="1">
      <c r="I47" s="25"/>
      <c r="J47" s="25"/>
      <c r="K47" s="25"/>
      <c r="L47" s="25"/>
      <c r="M47" s="25"/>
    </row>
    <row r="48" spans="9:13" ht="12.75">
      <c r="I48" s="36">
        <f>+SUM(I37:I47)</f>
        <v>0</v>
      </c>
      <c r="J48" s="36">
        <f>+SUM(J37:J47)</f>
        <v>0</v>
      </c>
      <c r="K48" s="36">
        <f>+SUM(K37:K47)</f>
        <v>0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0" t="s">
        <v>87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9:13" ht="7.5" customHeight="1">
      <c r="I51" s="37"/>
      <c r="J51" s="37"/>
      <c r="K51" s="37"/>
      <c r="L51" s="37"/>
      <c r="M51" s="37"/>
    </row>
    <row r="52" spans="1:13" ht="12.75">
      <c r="A52" s="24"/>
      <c r="B52" s="21" t="s">
        <v>88</v>
      </c>
      <c r="C52" s="22"/>
      <c r="D52" s="22"/>
      <c r="E52" s="22"/>
      <c r="F52" s="22" t="s">
        <v>89</v>
      </c>
      <c r="G52" s="22" t="s">
        <v>27</v>
      </c>
      <c r="I52" s="23">
        <f>+I$3</f>
        <v>2005</v>
      </c>
      <c r="J52" s="23">
        <f>+J$3</f>
        <v>2006</v>
      </c>
      <c r="K52" s="23">
        <f>+K$3</f>
        <v>2007</v>
      </c>
      <c r="L52" s="23">
        <f>+L$3</f>
        <v>2008</v>
      </c>
      <c r="M52" s="23">
        <f>+M$3</f>
        <v>2009</v>
      </c>
    </row>
    <row r="53" spans="1:13" ht="7.5" customHeight="1">
      <c r="A53" s="24"/>
      <c r="I53" s="38"/>
      <c r="J53" s="38"/>
      <c r="K53" s="38"/>
      <c r="L53" s="38"/>
      <c r="M53" s="38"/>
    </row>
    <row r="54" spans="1:13" ht="12.75">
      <c r="A54" s="24">
        <v>1</v>
      </c>
      <c r="B54" s="48"/>
      <c r="C54" s="48"/>
      <c r="D54" s="48"/>
      <c r="E54" s="48"/>
      <c r="F54" s="27"/>
      <c r="G54" s="20"/>
      <c r="I54" s="41">
        <v>0</v>
      </c>
      <c r="J54" s="41">
        <v>0</v>
      </c>
      <c r="K54" s="41">
        <v>0</v>
      </c>
      <c r="L54" s="41">
        <v>0</v>
      </c>
      <c r="M54" s="41">
        <v>0</v>
      </c>
    </row>
    <row r="55" spans="1:13" ht="12.75">
      <c r="A55" s="24">
        <v>2</v>
      </c>
      <c r="B55" s="48"/>
      <c r="C55" s="48"/>
      <c r="D55" s="48"/>
      <c r="E55" s="48"/>
      <c r="I55" s="38"/>
      <c r="J55" s="38"/>
      <c r="K55" s="38"/>
      <c r="L55" s="38"/>
      <c r="M55" s="38"/>
    </row>
    <row r="56" spans="1:13" ht="7.5" customHeight="1">
      <c r="A56" s="24"/>
      <c r="I56" s="38"/>
      <c r="J56" s="38"/>
      <c r="K56" s="38"/>
      <c r="L56" s="38"/>
      <c r="M56" s="38"/>
    </row>
    <row r="57" spans="1:13" ht="12.75">
      <c r="A57" s="24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4:E54"/>
    <mergeCell ref="B55:E55"/>
    <mergeCell ref="A1:M1"/>
    <mergeCell ref="A33:M33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25" t="s">
        <v>438</v>
      </c>
      <c r="C5" s="20" t="s">
        <v>48</v>
      </c>
      <c r="D5" s="20" t="s">
        <v>98</v>
      </c>
      <c r="E5" s="26" t="s">
        <v>64</v>
      </c>
      <c r="F5" s="28">
        <v>1.25</v>
      </c>
      <c r="G5" s="32">
        <v>2009</v>
      </c>
      <c r="I5" s="31">
        <f aca="true" t="shared" si="0" ref="I5:M14">+IF($G5&gt;=I$3,$F5,0)</f>
        <v>1.25</v>
      </c>
      <c r="J5" s="31">
        <f t="shared" si="0"/>
        <v>1.25</v>
      </c>
      <c r="K5" s="31">
        <f t="shared" si="0"/>
        <v>1.25</v>
      </c>
      <c r="L5" s="31">
        <f t="shared" si="0"/>
        <v>1.25</v>
      </c>
      <c r="M5" s="31">
        <f t="shared" si="0"/>
        <v>1.25</v>
      </c>
    </row>
    <row r="6" spans="1:13" ht="12.75">
      <c r="A6" s="24">
        <v>2</v>
      </c>
      <c r="B6" s="25" t="s">
        <v>439</v>
      </c>
      <c r="C6" s="20" t="s">
        <v>47</v>
      </c>
      <c r="D6" s="20" t="s">
        <v>138</v>
      </c>
      <c r="E6" s="26" t="s">
        <v>64</v>
      </c>
      <c r="F6" s="28">
        <v>1.25</v>
      </c>
      <c r="G6" s="30">
        <v>2009</v>
      </c>
      <c r="I6" s="31">
        <f t="shared" si="0"/>
        <v>1.25</v>
      </c>
      <c r="J6" s="31">
        <f t="shared" si="0"/>
        <v>1.25</v>
      </c>
      <c r="K6" s="31">
        <f t="shared" si="0"/>
        <v>1.25</v>
      </c>
      <c r="L6" s="31">
        <f t="shared" si="0"/>
        <v>1.25</v>
      </c>
      <c r="M6" s="31">
        <f t="shared" si="0"/>
        <v>1.25</v>
      </c>
    </row>
    <row r="7" spans="1:13" ht="12.75">
      <c r="A7" s="24">
        <v>3</v>
      </c>
      <c r="B7" s="25" t="s">
        <v>290</v>
      </c>
      <c r="C7" s="20" t="s">
        <v>50</v>
      </c>
      <c r="D7" s="20" t="s">
        <v>63</v>
      </c>
      <c r="E7" s="26" t="s">
        <v>64</v>
      </c>
      <c r="F7" s="28">
        <v>1.1</v>
      </c>
      <c r="G7" s="32">
        <v>2008</v>
      </c>
      <c r="I7" s="31">
        <f t="shared" si="0"/>
        <v>1.1</v>
      </c>
      <c r="J7" s="31">
        <f t="shared" si="0"/>
        <v>1.1</v>
      </c>
      <c r="K7" s="31">
        <f t="shared" si="0"/>
        <v>1.1</v>
      </c>
      <c r="L7" s="31">
        <f t="shared" si="0"/>
        <v>1.1</v>
      </c>
      <c r="M7" s="31">
        <f t="shared" si="0"/>
        <v>0</v>
      </c>
    </row>
    <row r="8" spans="1:13" ht="12.75">
      <c r="A8" s="24">
        <v>4</v>
      </c>
      <c r="B8" s="25" t="s">
        <v>142</v>
      </c>
      <c r="C8" s="20" t="s">
        <v>49</v>
      </c>
      <c r="D8" s="20" t="s">
        <v>70</v>
      </c>
      <c r="E8" s="26" t="s">
        <v>64</v>
      </c>
      <c r="F8" s="28">
        <v>8.85</v>
      </c>
      <c r="G8" s="32">
        <v>2007</v>
      </c>
      <c r="I8" s="31">
        <f t="shared" si="0"/>
        <v>8.85</v>
      </c>
      <c r="J8" s="31">
        <f t="shared" si="0"/>
        <v>8.85</v>
      </c>
      <c r="K8" s="31">
        <f t="shared" si="0"/>
        <v>8.85</v>
      </c>
      <c r="L8" s="31">
        <f t="shared" si="0"/>
        <v>0</v>
      </c>
      <c r="M8" s="31">
        <f t="shared" si="0"/>
        <v>0</v>
      </c>
    </row>
    <row r="9" spans="1:13" ht="12.75">
      <c r="A9" s="24">
        <v>5</v>
      </c>
      <c r="B9" s="19" t="s">
        <v>513</v>
      </c>
      <c r="C9" s="20" t="s">
        <v>47</v>
      </c>
      <c r="D9" s="20" t="s">
        <v>128</v>
      </c>
      <c r="E9" s="20" t="s">
        <v>64</v>
      </c>
      <c r="F9" s="33">
        <v>8</v>
      </c>
      <c r="G9" s="34">
        <v>2007</v>
      </c>
      <c r="I9" s="31">
        <f t="shared" si="0"/>
        <v>8</v>
      </c>
      <c r="J9" s="31">
        <f t="shared" si="0"/>
        <v>8</v>
      </c>
      <c r="K9" s="31">
        <f t="shared" si="0"/>
        <v>8</v>
      </c>
      <c r="L9" s="31">
        <f t="shared" si="0"/>
        <v>0</v>
      </c>
      <c r="M9" s="31">
        <f t="shared" si="0"/>
        <v>0</v>
      </c>
    </row>
    <row r="10" spans="1:13" ht="12.75">
      <c r="A10" s="24">
        <v>6</v>
      </c>
      <c r="B10" s="25" t="s">
        <v>544</v>
      </c>
      <c r="C10" s="20" t="s">
        <v>49</v>
      </c>
      <c r="D10" s="20" t="s">
        <v>99</v>
      </c>
      <c r="E10" s="26" t="s">
        <v>64</v>
      </c>
      <c r="F10" s="28">
        <v>6.65</v>
      </c>
      <c r="G10" s="32">
        <v>2007</v>
      </c>
      <c r="I10" s="31">
        <f t="shared" si="0"/>
        <v>6.65</v>
      </c>
      <c r="J10" s="31">
        <f t="shared" si="0"/>
        <v>6.65</v>
      </c>
      <c r="K10" s="31">
        <f t="shared" si="0"/>
        <v>6.65</v>
      </c>
      <c r="L10" s="31">
        <f t="shared" si="0"/>
        <v>0</v>
      </c>
      <c r="M10" s="31">
        <f t="shared" si="0"/>
        <v>0</v>
      </c>
    </row>
    <row r="11" spans="1:13" ht="12.75">
      <c r="A11" s="24">
        <v>7</v>
      </c>
      <c r="B11" s="25" t="s">
        <v>289</v>
      </c>
      <c r="C11" s="20" t="s">
        <v>49</v>
      </c>
      <c r="D11" s="20" t="s">
        <v>98</v>
      </c>
      <c r="E11" s="26" t="s">
        <v>64</v>
      </c>
      <c r="F11" s="28">
        <v>5.5</v>
      </c>
      <c r="G11" s="32">
        <v>2007</v>
      </c>
      <c r="I11" s="31">
        <f t="shared" si="0"/>
        <v>5.5</v>
      </c>
      <c r="J11" s="31">
        <f t="shared" si="0"/>
        <v>5.5</v>
      </c>
      <c r="K11" s="31">
        <f t="shared" si="0"/>
        <v>5.5</v>
      </c>
      <c r="L11" s="31">
        <f t="shared" si="0"/>
        <v>0</v>
      </c>
      <c r="M11" s="31">
        <f t="shared" si="0"/>
        <v>0</v>
      </c>
    </row>
    <row r="12" spans="1:13" ht="12.75">
      <c r="A12" s="24">
        <v>8</v>
      </c>
      <c r="B12" s="25" t="s">
        <v>291</v>
      </c>
      <c r="C12" s="20" t="s">
        <v>49</v>
      </c>
      <c r="D12" s="20" t="s">
        <v>108</v>
      </c>
      <c r="E12" s="26" t="s">
        <v>64</v>
      </c>
      <c r="F12" s="28">
        <v>8.4</v>
      </c>
      <c r="G12" s="32">
        <v>2005</v>
      </c>
      <c r="I12" s="31">
        <f t="shared" si="0"/>
        <v>8.4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25" t="s">
        <v>287</v>
      </c>
      <c r="C13" s="20" t="s">
        <v>50</v>
      </c>
      <c r="D13" s="20" t="s">
        <v>116</v>
      </c>
      <c r="E13" s="26" t="s">
        <v>64</v>
      </c>
      <c r="F13" s="28">
        <v>5.65</v>
      </c>
      <c r="G13" s="32">
        <v>2005</v>
      </c>
      <c r="I13" s="31">
        <f t="shared" si="0"/>
        <v>5.65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25" t="s">
        <v>697</v>
      </c>
      <c r="C14" s="20" t="s">
        <v>47</v>
      </c>
      <c r="D14" s="20" t="s">
        <v>73</v>
      </c>
      <c r="E14" s="26" t="s">
        <v>64</v>
      </c>
      <c r="F14" s="28">
        <v>1.25</v>
      </c>
      <c r="G14" s="32">
        <v>2005</v>
      </c>
      <c r="I14" s="31">
        <f t="shared" si="0"/>
        <v>1.25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25" t="s">
        <v>500</v>
      </c>
      <c r="C15" s="20" t="s">
        <v>52</v>
      </c>
      <c r="D15" s="20" t="s">
        <v>116</v>
      </c>
      <c r="E15" s="26" t="s">
        <v>64</v>
      </c>
      <c r="F15" s="28">
        <v>4.5</v>
      </c>
      <c r="G15" s="32">
        <v>2005</v>
      </c>
      <c r="I15" s="31">
        <f aca="true" t="shared" si="1" ref="I15:M29">+IF($G15&gt;=I$3,$F15,0)</f>
        <v>4.5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25" t="s">
        <v>535</v>
      </c>
      <c r="C16" s="20" t="s">
        <v>53</v>
      </c>
      <c r="D16" s="20" t="s">
        <v>150</v>
      </c>
      <c r="E16" s="26" t="s">
        <v>64</v>
      </c>
      <c r="F16" s="28">
        <v>3.5</v>
      </c>
      <c r="G16" s="32">
        <v>2005</v>
      </c>
      <c r="I16" s="31">
        <f t="shared" si="1"/>
        <v>3.5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25" t="s">
        <v>422</v>
      </c>
      <c r="C17" s="20" t="s">
        <v>51</v>
      </c>
      <c r="D17" s="20" t="s">
        <v>108</v>
      </c>
      <c r="E17" s="26" t="s">
        <v>402</v>
      </c>
      <c r="F17" s="28">
        <v>3.3</v>
      </c>
      <c r="G17" s="32">
        <v>2005</v>
      </c>
      <c r="I17" s="31">
        <f t="shared" si="1"/>
        <v>3.3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534</v>
      </c>
      <c r="C18" s="20" t="s">
        <v>53</v>
      </c>
      <c r="D18" s="20" t="s">
        <v>99</v>
      </c>
      <c r="E18" s="26" t="s">
        <v>64</v>
      </c>
      <c r="F18" s="28">
        <v>2.25</v>
      </c>
      <c r="G18" s="32">
        <v>2005</v>
      </c>
      <c r="I18" s="31">
        <f t="shared" si="1"/>
        <v>2.25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25" t="s">
        <v>668</v>
      </c>
      <c r="C19" s="20" t="s">
        <v>48</v>
      </c>
      <c r="D19" s="20" t="s">
        <v>93</v>
      </c>
      <c r="E19" s="26" t="s">
        <v>64</v>
      </c>
      <c r="F19" s="28">
        <v>1.25</v>
      </c>
      <c r="G19" s="32">
        <v>2005</v>
      </c>
      <c r="I19" s="31">
        <f t="shared" si="1"/>
        <v>1.25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655</v>
      </c>
      <c r="C20" s="20" t="s">
        <v>52</v>
      </c>
      <c r="D20" s="20" t="s">
        <v>98</v>
      </c>
      <c r="E20" s="26" t="s">
        <v>64</v>
      </c>
      <c r="F20" s="28">
        <v>1.25</v>
      </c>
      <c r="G20" s="30">
        <v>2005</v>
      </c>
      <c r="I20" s="31">
        <f t="shared" si="1"/>
        <v>1.25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19" t="s">
        <v>551</v>
      </c>
      <c r="C21" s="20" t="s">
        <v>52</v>
      </c>
      <c r="D21" s="20" t="s">
        <v>99</v>
      </c>
      <c r="E21" s="20" t="s">
        <v>64</v>
      </c>
      <c r="F21" s="33">
        <v>1.25</v>
      </c>
      <c r="G21" s="34">
        <v>2005</v>
      </c>
      <c r="I21" s="31">
        <f t="shared" si="1"/>
        <v>1.25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25" t="s">
        <v>585</v>
      </c>
      <c r="C22" s="20" t="s">
        <v>52</v>
      </c>
      <c r="D22" s="20" t="s">
        <v>95</v>
      </c>
      <c r="E22" s="26" t="s">
        <v>64</v>
      </c>
      <c r="F22" s="28">
        <v>1.25</v>
      </c>
      <c r="G22" s="32">
        <v>2005</v>
      </c>
      <c r="I22" s="31">
        <f t="shared" si="1"/>
        <v>1.25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25" t="s">
        <v>609</v>
      </c>
      <c r="C23" s="20" t="s">
        <v>51</v>
      </c>
      <c r="D23" s="20" t="s">
        <v>110</v>
      </c>
      <c r="E23" s="26" t="s">
        <v>64</v>
      </c>
      <c r="F23" s="28">
        <v>1.25</v>
      </c>
      <c r="G23" s="32">
        <v>2005</v>
      </c>
      <c r="I23" s="31">
        <f t="shared" si="1"/>
        <v>1.25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19" t="s">
        <v>610</v>
      </c>
      <c r="C24" s="20" t="s">
        <v>47</v>
      </c>
      <c r="D24" s="20" t="s">
        <v>63</v>
      </c>
      <c r="E24" s="20" t="s">
        <v>64</v>
      </c>
      <c r="F24" s="33">
        <v>1.25</v>
      </c>
      <c r="G24" s="34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25" t="s">
        <v>611</v>
      </c>
      <c r="C25" s="20" t="s">
        <v>53</v>
      </c>
      <c r="D25" s="20" t="s">
        <v>91</v>
      </c>
      <c r="E25" s="26" t="s">
        <v>64</v>
      </c>
      <c r="F25" s="28">
        <v>1.25</v>
      </c>
      <c r="G25" s="32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25" t="s">
        <v>617</v>
      </c>
      <c r="C26" s="20" t="s">
        <v>49</v>
      </c>
      <c r="D26" s="20" t="s">
        <v>153</v>
      </c>
      <c r="E26" s="26" t="s">
        <v>64</v>
      </c>
      <c r="F26" s="28">
        <v>1.25</v>
      </c>
      <c r="G26" s="32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25" t="s">
        <v>618</v>
      </c>
      <c r="C27" s="20" t="s">
        <v>52</v>
      </c>
      <c r="D27" s="20" t="s">
        <v>128</v>
      </c>
      <c r="E27" s="26" t="s">
        <v>64</v>
      </c>
      <c r="F27" s="28">
        <v>1.25</v>
      </c>
      <c r="G27" s="32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643</v>
      </c>
      <c r="C28" s="20" t="s">
        <v>48</v>
      </c>
      <c r="D28" s="20" t="s">
        <v>108</v>
      </c>
      <c r="E28" s="20" t="s">
        <v>64</v>
      </c>
      <c r="F28" s="33">
        <v>1.25</v>
      </c>
      <c r="G28" s="34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25" t="s">
        <v>288</v>
      </c>
      <c r="C29" s="20" t="s">
        <v>48</v>
      </c>
      <c r="D29" s="20" t="s">
        <v>82</v>
      </c>
      <c r="E29" s="26" t="s">
        <v>64</v>
      </c>
      <c r="F29" s="28">
        <v>1</v>
      </c>
      <c r="G29" s="32">
        <v>2005</v>
      </c>
      <c r="I29" s="31">
        <f t="shared" si="1"/>
        <v>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9:13" ht="12.75">
      <c r="I31" s="36">
        <f>+SUM(I5:I29)</f>
        <v>74.94999999999999</v>
      </c>
      <c r="J31" s="36">
        <f>+SUM(J5:J29)</f>
        <v>32.6</v>
      </c>
      <c r="K31" s="36">
        <f>+SUM(K5:K29)</f>
        <v>32.6</v>
      </c>
      <c r="L31" s="36">
        <f>+SUM(L5:L29)</f>
        <v>3.6</v>
      </c>
      <c r="M31" s="36">
        <f>+SUM(M5:M29)</f>
        <v>2.5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25" t="s">
        <v>548</v>
      </c>
      <c r="C37" s="20" t="s">
        <v>48</v>
      </c>
      <c r="D37" s="20" t="s">
        <v>82</v>
      </c>
      <c r="E37" s="26">
        <v>2005</v>
      </c>
      <c r="F37" s="28">
        <v>5</v>
      </c>
      <c r="G37" s="32">
        <v>2005</v>
      </c>
      <c r="I37" s="31">
        <f aca="true" t="shared" si="2" ref="I37:I46">+CEILING(IF($I$35=E37,F37,IF($I$35&lt;=G37,F37*0.3,0)),0.05)</f>
        <v>5</v>
      </c>
      <c r="J37" s="31">
        <f aca="true" t="shared" si="3" ref="J37:J46">+CEILING(IF($J$35&lt;=G37,F37*0.3,0),0.05)</f>
        <v>0</v>
      </c>
      <c r="K37" s="31">
        <f aca="true" t="shared" si="4" ref="K37:K46">+CEILING(IF($K$35&lt;=G37,F37*0.3,0),0.05)</f>
        <v>0</v>
      </c>
      <c r="L37" s="31">
        <f aca="true" t="shared" si="5" ref="L37:L46">+CEILING(IF($L$35&lt;=G37,F37*0.3,0),0.05)</f>
        <v>0</v>
      </c>
      <c r="M37" s="31">
        <f aca="true" t="shared" si="6" ref="M37:M46">CEILING(IF($M$35&lt;=G37,F37*0.3,0),0.05)</f>
        <v>0</v>
      </c>
    </row>
    <row r="38" spans="1:13" ht="12.75">
      <c r="A38" s="24">
        <v>2</v>
      </c>
      <c r="B38" s="25" t="s">
        <v>696</v>
      </c>
      <c r="C38" s="20" t="s">
        <v>48</v>
      </c>
      <c r="D38" s="20" t="s">
        <v>99</v>
      </c>
      <c r="E38" s="26">
        <v>2005</v>
      </c>
      <c r="F38" s="28">
        <v>4.7</v>
      </c>
      <c r="G38" s="32">
        <v>2005</v>
      </c>
      <c r="I38" s="31">
        <f t="shared" si="2"/>
        <v>4.7</v>
      </c>
      <c r="J38" s="31">
        <f t="shared" si="3"/>
        <v>0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4">
        <v>3</v>
      </c>
      <c r="B39" s="25" t="s">
        <v>532</v>
      </c>
      <c r="C39" s="20" t="s">
        <v>52</v>
      </c>
      <c r="D39" s="20" t="s">
        <v>113</v>
      </c>
      <c r="E39" s="26">
        <v>2005</v>
      </c>
      <c r="F39" s="28">
        <v>2.75</v>
      </c>
      <c r="G39" s="30">
        <v>2005</v>
      </c>
      <c r="I39" s="31">
        <f t="shared" si="2"/>
        <v>2.75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D40" s="20"/>
      <c r="E40" s="20"/>
      <c r="F40" s="33"/>
      <c r="G40" s="34"/>
      <c r="I40" s="31">
        <f t="shared" si="2"/>
        <v>0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B41" s="25"/>
      <c r="D41" s="20"/>
      <c r="E41" s="26"/>
      <c r="F41" s="28"/>
      <c r="G41" s="32"/>
      <c r="I41" s="31">
        <f t="shared" si="2"/>
        <v>0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25"/>
      <c r="D42" s="20"/>
      <c r="E42" s="26"/>
      <c r="F42" s="28"/>
      <c r="G42" s="32"/>
      <c r="I42" s="31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D43" s="20"/>
      <c r="E43" s="20"/>
      <c r="F43" s="33"/>
      <c r="G43" s="34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D44" s="20"/>
      <c r="E44" s="20"/>
      <c r="F44" s="33"/>
      <c r="G44" s="34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4">
        <v>9</v>
      </c>
      <c r="D45" s="20"/>
      <c r="E45" s="20"/>
      <c r="F45" s="33"/>
      <c r="G45" s="34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4">
        <v>10</v>
      </c>
      <c r="B46" s="25"/>
      <c r="D46" s="20"/>
      <c r="E46" s="26"/>
      <c r="F46" s="28"/>
      <c r="G46" s="32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5"/>
      <c r="J47" s="25"/>
      <c r="K47" s="25"/>
      <c r="L47" s="25"/>
      <c r="M47" s="25"/>
    </row>
    <row r="48" spans="9:13" ht="12.75">
      <c r="I48" s="36">
        <f>+SUM(I37:I47)</f>
        <v>12.45</v>
      </c>
      <c r="J48" s="36">
        <f>+SUM(J37:J47)</f>
        <v>0</v>
      </c>
      <c r="K48" s="36">
        <f>+SUM(K37:K47)</f>
        <v>0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0" t="s">
        <v>87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9:13" ht="7.5" customHeight="1">
      <c r="I51" s="37"/>
      <c r="J51" s="37"/>
      <c r="K51" s="37"/>
      <c r="L51" s="37"/>
      <c r="M51" s="37"/>
    </row>
    <row r="52" spans="1:13" ht="12.75">
      <c r="A52" s="24"/>
      <c r="B52" s="21" t="s">
        <v>88</v>
      </c>
      <c r="C52" s="22"/>
      <c r="D52" s="22"/>
      <c r="E52" s="22"/>
      <c r="F52" s="22" t="s">
        <v>89</v>
      </c>
      <c r="G52" s="22" t="s">
        <v>27</v>
      </c>
      <c r="I52" s="23">
        <f>+I$3</f>
        <v>2005</v>
      </c>
      <c r="J52" s="23">
        <f>+J$3</f>
        <v>2006</v>
      </c>
      <c r="K52" s="23">
        <f>+K$3</f>
        <v>2007</v>
      </c>
      <c r="L52" s="23">
        <f>+L$3</f>
        <v>2008</v>
      </c>
      <c r="M52" s="23">
        <f>+M$3</f>
        <v>2009</v>
      </c>
    </row>
    <row r="53" spans="1:13" ht="7.5" customHeight="1">
      <c r="A53" s="24"/>
      <c r="I53" s="38"/>
      <c r="J53" s="38"/>
      <c r="K53" s="38"/>
      <c r="L53" s="38"/>
      <c r="M53" s="38"/>
    </row>
    <row r="54" spans="1:13" ht="12.75">
      <c r="A54" s="24">
        <v>1</v>
      </c>
      <c r="B54" s="48" t="s">
        <v>689</v>
      </c>
      <c r="C54" s="48"/>
      <c r="D54" s="48"/>
      <c r="E54" s="48"/>
      <c r="F54" s="27">
        <v>6.15</v>
      </c>
      <c r="G54" s="20">
        <v>2005</v>
      </c>
      <c r="I54" s="41">
        <v>6.15</v>
      </c>
      <c r="J54" s="41">
        <v>0</v>
      </c>
      <c r="K54" s="41">
        <v>0</v>
      </c>
      <c r="L54" s="41">
        <v>0</v>
      </c>
      <c r="M54" s="41">
        <v>0</v>
      </c>
    </row>
    <row r="55" spans="1:13" ht="12.75">
      <c r="A55" s="24">
        <v>2</v>
      </c>
      <c r="B55" s="48"/>
      <c r="C55" s="48"/>
      <c r="D55" s="48"/>
      <c r="E55" s="48"/>
      <c r="I55" s="41"/>
      <c r="J55" s="41"/>
      <c r="K55" s="41"/>
      <c r="L55" s="41"/>
      <c r="M55" s="41"/>
    </row>
    <row r="56" spans="1:13" ht="7.5" customHeight="1">
      <c r="A56" s="24"/>
      <c r="I56" s="38"/>
      <c r="J56" s="38"/>
      <c r="K56" s="38"/>
      <c r="L56" s="38"/>
      <c r="M56" s="38"/>
    </row>
    <row r="57" spans="1:13" ht="12.75">
      <c r="A57" s="24"/>
      <c r="I57" s="35">
        <f>+SUM(I54:I56)</f>
        <v>6.15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4:E54"/>
    <mergeCell ref="B55:E55"/>
    <mergeCell ref="A1:M1"/>
    <mergeCell ref="A33:M33"/>
    <mergeCell ref="A50:M50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7109375" style="0" customWidth="1"/>
    <col min="2" max="2" width="2.7109375" style="0" customWidth="1"/>
    <col min="3" max="3" width="4.7109375" style="0" customWidth="1"/>
    <col min="4" max="4" width="6.7109375" style="0" customWidth="1"/>
    <col min="5" max="5" width="0.85546875" style="0" customWidth="1"/>
    <col min="6" max="6" width="4.7109375" style="0" customWidth="1"/>
    <col min="7" max="7" width="6.7109375" style="0" customWidth="1"/>
    <col min="8" max="8" width="0.85546875" style="0" customWidth="1"/>
    <col min="9" max="9" width="4.7109375" style="0" customWidth="1"/>
    <col min="10" max="10" width="6.7109375" style="0" customWidth="1"/>
    <col min="11" max="11" width="0.85546875" style="0" customWidth="1"/>
    <col min="12" max="12" width="4.7109375" style="0" customWidth="1"/>
    <col min="13" max="13" width="6.7109375" style="0" customWidth="1"/>
    <col min="14" max="14" width="0.85546875" style="0" customWidth="1"/>
    <col min="15" max="15" width="4.7109375" style="0" customWidth="1"/>
    <col min="16" max="16" width="6.7109375" style="0" customWidth="1"/>
    <col min="17" max="17" width="0.85546875" style="0" customWidth="1"/>
    <col min="18" max="18" width="4.7109375" style="0" customWidth="1"/>
    <col min="19" max="19" width="6.7109375" style="0" customWidth="1"/>
    <col min="20" max="20" width="0.85546875" style="0" customWidth="1"/>
    <col min="21" max="21" width="4.7109375" style="0" customWidth="1"/>
    <col min="22" max="22" width="6.7109375" style="0" customWidth="1"/>
    <col min="23" max="23" width="1.7109375" style="0" customWidth="1"/>
    <col min="24" max="24" width="7.7109375" style="0" customWidth="1"/>
    <col min="25" max="25" width="1.7109375" style="0" customWidth="1"/>
    <col min="26" max="26" width="6.7109375" style="0" customWidth="1"/>
    <col min="27" max="27" width="1.7109375" style="0" customWidth="1"/>
    <col min="28" max="28" width="7.7109375" style="0" customWidth="1"/>
  </cols>
  <sheetData>
    <row r="1" spans="1:28" ht="18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</row>
    <row r="2" spans="3:28" s="3" customFormat="1" ht="7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5"/>
      <c r="T2" s="5"/>
      <c r="U2" s="4"/>
      <c r="V2" s="4"/>
      <c r="W2" s="5"/>
      <c r="X2" s="6"/>
      <c r="Y2" s="6"/>
      <c r="Z2" s="6"/>
      <c r="AA2" s="6"/>
      <c r="AB2" s="5"/>
    </row>
    <row r="3" spans="1:28" s="7" customFormat="1" ht="15">
      <c r="A3" s="8" t="s">
        <v>1</v>
      </c>
      <c r="C3" s="47" t="s">
        <v>47</v>
      </c>
      <c r="D3" s="47"/>
      <c r="E3" s="9"/>
      <c r="F3" s="47" t="s">
        <v>48</v>
      </c>
      <c r="G3" s="47"/>
      <c r="H3" s="9"/>
      <c r="I3" s="47" t="s">
        <v>49</v>
      </c>
      <c r="J3" s="47"/>
      <c r="K3" s="9"/>
      <c r="L3" s="47" t="s">
        <v>50</v>
      </c>
      <c r="M3" s="47"/>
      <c r="N3" s="9"/>
      <c r="O3" s="47" t="s">
        <v>51</v>
      </c>
      <c r="P3" s="47"/>
      <c r="Q3" s="9"/>
      <c r="R3" s="47" t="s">
        <v>52</v>
      </c>
      <c r="S3" s="47"/>
      <c r="T3" s="9"/>
      <c r="U3" s="47" t="s">
        <v>53</v>
      </c>
      <c r="V3" s="47"/>
      <c r="W3" s="10"/>
      <c r="X3" s="9" t="s">
        <v>54</v>
      </c>
      <c r="Y3" s="9"/>
      <c r="Z3" s="9" t="s">
        <v>55</v>
      </c>
      <c r="AA3" s="9"/>
      <c r="AB3" s="9" t="s">
        <v>6</v>
      </c>
    </row>
    <row r="4" s="3" customFormat="1" ht="7.5" customHeight="1"/>
    <row r="5" spans="1:28" s="7" customFormat="1" ht="15" customHeight="1">
      <c r="A5" s="11" t="s">
        <v>10</v>
      </c>
      <c r="C5" s="16">
        <f>+COUNTIF(Kuhn!$C$5:$C$29,"=qb")</f>
        <v>3</v>
      </c>
      <c r="D5" s="14">
        <f>SUMIF(Kuhn!$C$5:$C$29,"QB",Kuhn!$F$5:$F$29)</f>
        <v>6.85</v>
      </c>
      <c r="E5" s="12"/>
      <c r="F5" s="16">
        <f>+COUNTIF(Kuhn!$C$5:$C$29,"=rb")</f>
        <v>4</v>
      </c>
      <c r="G5" s="14">
        <f>SUMIF(Kuhn!$C$5:$C$29,"rb",Kuhn!$F$5:$F$29)</f>
        <v>50.050000000000004</v>
      </c>
      <c r="H5" s="12"/>
      <c r="I5" s="16">
        <f>+COUNTIF(Kuhn!$C$5:$C$29,"=wr")</f>
        <v>4</v>
      </c>
      <c r="J5" s="14">
        <f>SUMIF(Kuhn!$C$5:$C$29,"wr",Kuhn!$F$5:$F$29)</f>
        <v>30.3</v>
      </c>
      <c r="K5" s="12"/>
      <c r="L5" s="16">
        <f>+COUNTIF(Kuhn!$C$5:$C$29,"=te")</f>
        <v>2</v>
      </c>
      <c r="M5" s="14">
        <f>SUMIF(Kuhn!$C$5:$C$29,"te",Kuhn!$F$5:$F$29)</f>
        <v>18.9</v>
      </c>
      <c r="N5" s="12"/>
      <c r="O5" s="16">
        <f>+COUNTIF(Kuhn!$C$5:$C$29,"=k")</f>
        <v>1</v>
      </c>
      <c r="P5" s="14">
        <f>SUMIF(Kuhn!$C$5:$C$29,"k",Kuhn!$F$5:$F$29)</f>
        <v>2.2</v>
      </c>
      <c r="Q5" s="12"/>
      <c r="R5" s="16">
        <f>+COUNTIF(Kuhn!$C$5:$C$29,"=dl")</f>
        <v>7</v>
      </c>
      <c r="S5" s="14">
        <f>SUMIF(Kuhn!$C$5:$C$29,"dl",Kuhn!$F$5:$F$29)</f>
        <v>19.1</v>
      </c>
      <c r="T5" s="13"/>
      <c r="U5" s="16">
        <f>+COUNTIF(Kuhn!$C$5:$C$29,"=db")</f>
        <v>4</v>
      </c>
      <c r="V5" s="14">
        <f>SUMIF(Kuhn!$C$5:$C$29,"db",Kuhn!$F$5:$F$29)</f>
        <v>11.9</v>
      </c>
      <c r="W5" s="13"/>
      <c r="X5" s="14">
        <f aca="true" t="shared" si="0" ref="X5:X24">D5+G5+J5+M5+P5</f>
        <v>108.3</v>
      </c>
      <c r="Y5" s="12"/>
      <c r="Z5" s="14">
        <f aca="true" t="shared" si="1" ref="Z5:Z24">+S5+V5</f>
        <v>31</v>
      </c>
      <c r="AA5" s="12"/>
      <c r="AB5" s="14">
        <f aca="true" t="shared" si="2" ref="AB5:AB24">+X5+Z5</f>
        <v>139.3</v>
      </c>
    </row>
    <row r="6" spans="1:28" s="7" customFormat="1" ht="15" customHeight="1">
      <c r="A6" s="11" t="s">
        <v>13</v>
      </c>
      <c r="C6" s="16">
        <f>+COUNTIF(Eggert!$C$5:$C$29,"=qb")</f>
        <v>2</v>
      </c>
      <c r="D6" s="14">
        <f>SUMIF(Eggert!$C$5:$C$29,"QB",Eggert!$F$5:$F$29)</f>
        <v>26.3</v>
      </c>
      <c r="E6" s="12"/>
      <c r="F6" s="16">
        <f>+COUNTIF(Eggert!$C$5:$C$29,"=rb")</f>
        <v>4</v>
      </c>
      <c r="G6" s="14">
        <f>SUMIF(Eggert!$C$5:$C$29,"rb",Eggert!$F$5:$F$29)</f>
        <v>30.75</v>
      </c>
      <c r="H6" s="12"/>
      <c r="I6" s="16">
        <f>+COUNTIF(Eggert!$C$5:$C$29,"=wr")</f>
        <v>6</v>
      </c>
      <c r="J6" s="14">
        <f>SUMIF(Eggert!$C$5:$C$29,"wr",Eggert!$F$5:$F$29)</f>
        <v>31.049999999999997</v>
      </c>
      <c r="K6" s="12"/>
      <c r="L6" s="16">
        <f>+COUNTIF(Eggert!$C$5:$C$29,"=te")</f>
        <v>1</v>
      </c>
      <c r="M6" s="14">
        <f>SUMIF(Eggert!$C$5:$C$29,"te",Eggert!$F$5:$F$29)</f>
        <v>1.25</v>
      </c>
      <c r="N6" s="12"/>
      <c r="O6" s="16">
        <f>+COUNTIF(Eggert!$C$5:$C$29,"=k")</f>
        <v>1</v>
      </c>
      <c r="P6" s="14">
        <f>SUMIF(Eggert!$C$5:$C$29,"k",Eggert!$F$5:$F$29)</f>
        <v>2.35</v>
      </c>
      <c r="Q6" s="12"/>
      <c r="R6" s="16">
        <f>+COUNTIF(Eggert!$C$5:$C$29,"=dl")</f>
        <v>6</v>
      </c>
      <c r="S6" s="14">
        <f>SUMIF(Eggert!$C$5:$C$29,"dl",Eggert!$F$5:$F$29)</f>
        <v>18.7</v>
      </c>
      <c r="T6" s="13"/>
      <c r="U6" s="16">
        <f>+COUNTIF(Eggert!$C$5:$C$29,"=db")</f>
        <v>2</v>
      </c>
      <c r="V6" s="14">
        <f>SUMIF(Eggert!$C$5:$C$29,"db",Eggert!$F$5:$F$29)</f>
        <v>3.05</v>
      </c>
      <c r="W6" s="13"/>
      <c r="X6" s="14">
        <f t="shared" si="0"/>
        <v>91.69999999999999</v>
      </c>
      <c r="Y6" s="12"/>
      <c r="Z6" s="14">
        <f t="shared" si="1"/>
        <v>21.75</v>
      </c>
      <c r="AA6" s="12"/>
      <c r="AB6" s="14">
        <f t="shared" si="2"/>
        <v>113.44999999999999</v>
      </c>
    </row>
    <row r="7" spans="1:28" s="7" customFormat="1" ht="15" customHeight="1">
      <c r="A7" s="11" t="s">
        <v>9</v>
      </c>
      <c r="C7" s="16">
        <f>+COUNTIF('Boyd A'!$C$5:$C$29,"=qb")</f>
        <v>3</v>
      </c>
      <c r="D7" s="14">
        <f>SUMIF('Boyd A'!$C$5:$C$29,"QB",'Boyd A'!$F$5:$F$29)</f>
        <v>32.45</v>
      </c>
      <c r="E7" s="12"/>
      <c r="F7" s="16">
        <f>+COUNTIF('Boyd A'!$C$5:$C$29,"=rb")</f>
        <v>3</v>
      </c>
      <c r="G7" s="14">
        <f>SUMIF('Boyd A'!$C$5:$C$29,"rb",'Boyd A'!$F$5:$F$29)</f>
        <v>42.3</v>
      </c>
      <c r="H7" s="12"/>
      <c r="I7" s="16">
        <f>+COUNTIF('Boyd A'!$C$5:$C$29,"=wr")</f>
        <v>5</v>
      </c>
      <c r="J7" s="14">
        <f>SUMIF('Boyd A'!$C$5:$C$29,"wr",'Boyd A'!$F$5:$F$29)</f>
        <v>28.700000000000003</v>
      </c>
      <c r="K7" s="12"/>
      <c r="L7" s="16">
        <f>+COUNTIF('Boyd A'!$C$5:$C$29,"=te")</f>
        <v>3</v>
      </c>
      <c r="M7" s="14">
        <f>SUMIF('Boyd A'!$C$5:$C$29,"te",'Boyd A'!$F$5:$F$29)</f>
        <v>8.25</v>
      </c>
      <c r="N7" s="12"/>
      <c r="O7" s="16">
        <f>+COUNTIF('Boyd A'!$C$5:$C$29,"=k")</f>
        <v>2</v>
      </c>
      <c r="P7" s="14">
        <f>SUMIF('Boyd A'!$C$5:$C$29,"k",'Boyd A'!$F$5:$F$29)</f>
        <v>2.5</v>
      </c>
      <c r="Q7" s="12"/>
      <c r="R7" s="16">
        <f>+COUNTIF('Boyd A'!$C$5:$C$29,"=dl")</f>
        <v>6</v>
      </c>
      <c r="S7" s="14">
        <f>SUMIF('Boyd A'!$C$5:$C$29,"dl",'Boyd A'!$F$5:$F$29)</f>
        <v>10.35</v>
      </c>
      <c r="T7" s="13"/>
      <c r="U7" s="16">
        <f>+COUNTIF('Boyd A'!$C$5:$C$29,"=db")</f>
        <v>3</v>
      </c>
      <c r="V7" s="14">
        <f>SUMIF('Boyd A'!$C$5:$C$29,"db",'Boyd A'!$F$5:$F$29)</f>
        <v>3.75</v>
      </c>
      <c r="W7" s="13"/>
      <c r="X7" s="14">
        <f t="shared" si="0"/>
        <v>114.2</v>
      </c>
      <c r="Y7" s="12"/>
      <c r="Z7" s="14">
        <f t="shared" si="1"/>
        <v>14.1</v>
      </c>
      <c r="AA7" s="12"/>
      <c r="AB7" s="14">
        <f t="shared" si="2"/>
        <v>128.3</v>
      </c>
    </row>
    <row r="8" spans="1:28" s="7" customFormat="1" ht="15" customHeight="1">
      <c r="A8" s="11" t="s">
        <v>18</v>
      </c>
      <c r="C8" s="16">
        <f>+COUNTIF(Cadmus!$C$5:$C$29,"=qb")</f>
        <v>4</v>
      </c>
      <c r="D8" s="14">
        <f>SUMIF(Cadmus!$C$5:$C$29,"QB",Cadmus!$F$5:$F$29)</f>
        <v>16.75</v>
      </c>
      <c r="E8" s="12"/>
      <c r="F8" s="16">
        <f>+COUNTIF(Cadmus!$C$5:$C$29,"=rb")</f>
        <v>6</v>
      </c>
      <c r="G8" s="14">
        <f>SUMIF(Cadmus!$C$5:$C$29,"rb",Cadmus!$F$5:$F$29)</f>
        <v>39.65</v>
      </c>
      <c r="H8" s="12"/>
      <c r="I8" s="16">
        <f>+COUNTIF(Cadmus!$C$5:$C$29,"=wr")</f>
        <v>4</v>
      </c>
      <c r="J8" s="14">
        <f>SUMIF(Cadmus!$C$5:$C$29,"wr",Cadmus!$F$5:$F$29)</f>
        <v>36.6</v>
      </c>
      <c r="K8" s="12"/>
      <c r="L8" s="16">
        <f>+COUNTIF(Cadmus!$C$5:$C$29,"=te")</f>
        <v>1</v>
      </c>
      <c r="M8" s="14">
        <f>SUMIF(Cadmus!$C$5:$C$29,"te",Cadmus!$F$5:$F$29)</f>
        <v>4.1</v>
      </c>
      <c r="N8" s="12"/>
      <c r="O8" s="16">
        <f>+COUNTIF(Cadmus!$C$5:$C$29,"=k")</f>
        <v>2</v>
      </c>
      <c r="P8" s="14">
        <f>SUMIF(Cadmus!$C$5:$C$29,"k",Cadmus!$F$5:$F$29)</f>
        <v>5.55</v>
      </c>
      <c r="Q8" s="12"/>
      <c r="R8" s="16">
        <f>+COUNTIF(Cadmus!$C$5:$C$29,"=dl")</f>
        <v>6</v>
      </c>
      <c r="S8" s="14">
        <f>SUMIF(Cadmus!$C$5:$C$29,"dl",Cadmus!$F$5:$F$29)</f>
        <v>14.999999999999998</v>
      </c>
      <c r="T8" s="13"/>
      <c r="U8" s="16">
        <f>+COUNTIF(Cadmus!$C$5:$C$29,"=db")</f>
        <v>2</v>
      </c>
      <c r="V8" s="14">
        <f>SUMIF(Cadmus!$C$5:$C$29,"db",Cadmus!$F$5:$F$29)</f>
        <v>4</v>
      </c>
      <c r="W8" s="13"/>
      <c r="X8" s="14">
        <f t="shared" si="0"/>
        <v>102.64999999999999</v>
      </c>
      <c r="Y8" s="12"/>
      <c r="Z8" s="14">
        <f t="shared" si="1"/>
        <v>19</v>
      </c>
      <c r="AA8" s="12"/>
      <c r="AB8" s="14">
        <f t="shared" si="2"/>
        <v>121.64999999999999</v>
      </c>
    </row>
    <row r="9" spans="1:28" s="7" customFormat="1" ht="15" customHeight="1">
      <c r="A9" s="11" t="s">
        <v>19</v>
      </c>
      <c r="C9" s="16">
        <f>+COUNTIF(Adkisson!$C$5:$C$29,"=qb")</f>
        <v>3</v>
      </c>
      <c r="D9" s="14">
        <f>SUMIF(Adkisson!$C$5:$C$29,"QB",Adkisson!$F$5:$F$29)</f>
        <v>8.8</v>
      </c>
      <c r="E9" s="12"/>
      <c r="F9" s="16">
        <f>+COUNTIF(Adkisson!$C$5:$C$29,"=rb")</f>
        <v>5</v>
      </c>
      <c r="G9" s="14">
        <f>SUMIF(Adkisson!$C$5:$C$29,"rb",Adkisson!$F$5:$F$29)</f>
        <v>37.800000000000004</v>
      </c>
      <c r="H9" s="12"/>
      <c r="I9" s="16">
        <f>+COUNTIF(Adkisson!$C$5:$C$29,"=wr")</f>
        <v>4</v>
      </c>
      <c r="J9" s="14">
        <f>SUMIF(Adkisson!$C$5:$C$29,"wr",Adkisson!$F$5:$F$29)</f>
        <v>44.9</v>
      </c>
      <c r="K9" s="12"/>
      <c r="L9" s="16">
        <f>+COUNTIF(Adkisson!$C$5:$C$29,"=te")</f>
        <v>2</v>
      </c>
      <c r="M9" s="14">
        <f>SUMIF(Adkisson!$C$5:$C$29,"te",Adkisson!$F$5:$F$29)</f>
        <v>3.55</v>
      </c>
      <c r="N9" s="12"/>
      <c r="O9" s="16">
        <f>+COUNTIF(Adkisson!$C$5:$C$29,"=k")</f>
        <v>1</v>
      </c>
      <c r="P9" s="14">
        <f>SUMIF(Adkisson!$C$5:$C$29,"k",Adkisson!$F$5:$F$29)</f>
        <v>3</v>
      </c>
      <c r="Q9" s="12"/>
      <c r="R9" s="16">
        <f>+COUNTIF(Adkisson!$C$5:$C$29,"=dl")</f>
        <v>7</v>
      </c>
      <c r="S9" s="14">
        <f>SUMIF(Adkisson!$C$5:$C$29,"dl",Adkisson!$F$5:$F$29)</f>
        <v>13.6</v>
      </c>
      <c r="T9" s="13"/>
      <c r="U9" s="16">
        <f>+COUNTIF(Adkisson!$C$5:$C$29,"=db")</f>
        <v>3</v>
      </c>
      <c r="V9" s="14">
        <f>SUMIF(Adkisson!$C$5:$C$29,"db",Adkisson!$F$5:$F$29)</f>
        <v>6.8999999999999995</v>
      </c>
      <c r="W9" s="13"/>
      <c r="X9" s="14">
        <f t="shared" si="0"/>
        <v>98.05</v>
      </c>
      <c r="Y9" s="12"/>
      <c r="Z9" s="14">
        <f t="shared" si="1"/>
        <v>20.5</v>
      </c>
      <c r="AA9" s="12"/>
      <c r="AB9" s="14">
        <f t="shared" si="2"/>
        <v>118.55</v>
      </c>
    </row>
    <row r="10" spans="1:28" s="7" customFormat="1" ht="15" customHeight="1">
      <c r="A10" s="11" t="s">
        <v>14</v>
      </c>
      <c r="C10" s="16">
        <f>+COUNTIF(Barton!$C$5:$C$29,"=QB")</f>
        <v>4</v>
      </c>
      <c r="D10" s="14">
        <f>SUMIF(Barton!$C$5:$C$29,"QB",Barton!$F$5:$F$29)</f>
        <v>17.1</v>
      </c>
      <c r="E10" s="12"/>
      <c r="F10" s="16">
        <f>+COUNTIF(Barton!$C$5:$C$29,"=rb")</f>
        <v>6</v>
      </c>
      <c r="G10" s="14">
        <f>SUMIF(Barton!$C$5:$C$29,"rb",Barton!$F$5:$F$29)</f>
        <v>59.14999999999999</v>
      </c>
      <c r="H10" s="12"/>
      <c r="I10" s="16">
        <f>+COUNTIF(Barton!$C$5:$C$29,"=wr")</f>
        <v>5</v>
      </c>
      <c r="J10" s="14">
        <f>SUMIF(Barton!$C$5:$C$29,"wr",Barton!$F$5:$F$29)</f>
        <v>31.1</v>
      </c>
      <c r="K10" s="12"/>
      <c r="L10" s="16">
        <f>+COUNTIF(Barton!$C$5:$C$29,"=te")</f>
        <v>1</v>
      </c>
      <c r="M10" s="14">
        <f>SUMIF(Barton!$C$5:$C$29,"te",Barton!$F$5:$F$29)</f>
        <v>3.05</v>
      </c>
      <c r="N10" s="12"/>
      <c r="O10" s="16">
        <f>+COUNTIF(Barton!$C$5:$C$29,"=k")</f>
        <v>2</v>
      </c>
      <c r="P10" s="14">
        <f>SUMIF(Barton!$C$5:$C$29,"k",Barton!$F$5:$F$29)</f>
        <v>4.55</v>
      </c>
      <c r="Q10" s="12"/>
      <c r="R10" s="16">
        <f>+COUNTIF(Barton!$C$5:$C$29,"=dl")</f>
        <v>5</v>
      </c>
      <c r="S10" s="14">
        <f>SUMIF(Barton!$C$5:$C$29,"dl",Barton!$F$5:$F$29)</f>
        <v>10.75</v>
      </c>
      <c r="T10" s="13"/>
      <c r="U10" s="16">
        <f>+COUNTIF(Barton!$C$5:$C$29,"=db")</f>
        <v>2</v>
      </c>
      <c r="V10" s="14">
        <f>SUMIF(Barton!$C$5:$C$29,"db",Barton!$F$5:$F$29)</f>
        <v>2.8</v>
      </c>
      <c r="W10" s="13"/>
      <c r="X10" s="14">
        <f t="shared" si="0"/>
        <v>114.94999999999999</v>
      </c>
      <c r="Y10" s="12"/>
      <c r="Z10" s="14">
        <f t="shared" si="1"/>
        <v>13.55</v>
      </c>
      <c r="AA10" s="12"/>
      <c r="AB10" s="14">
        <f t="shared" si="2"/>
        <v>128.5</v>
      </c>
    </row>
    <row r="11" spans="1:28" s="7" customFormat="1" ht="15" customHeight="1">
      <c r="A11" s="11" t="s">
        <v>8</v>
      </c>
      <c r="C11" s="16">
        <f>+COUNTIF(Krenz!$C$5:$C$29,"=qb")</f>
        <v>3</v>
      </c>
      <c r="D11" s="14">
        <f>SUMIF(Krenz!$C$5:$C$29,"QB",Krenz!$F$5:$F$29)</f>
        <v>7.15</v>
      </c>
      <c r="E11" s="12"/>
      <c r="F11" s="16">
        <f>+COUNTIF(Krenz!$C$5:$C$29,"=rb")</f>
        <v>5</v>
      </c>
      <c r="G11" s="14">
        <f>SUMIF(Krenz!$C$5:$C$29,"rb",Krenz!$F$5:$F$29)</f>
        <v>24.849999999999998</v>
      </c>
      <c r="H11" s="12"/>
      <c r="I11" s="16">
        <f>+COUNTIF(Krenz!$C$5:$C$29,"=wr")</f>
        <v>5</v>
      </c>
      <c r="J11" s="14">
        <f>SUMIF(Krenz!$C$5:$C$29,"wr",Krenz!$F$5:$F$29)</f>
        <v>39.400000000000006</v>
      </c>
      <c r="K11" s="12"/>
      <c r="L11" s="16">
        <f>+COUNTIF(Krenz!$C$5:$C$29,"=te")</f>
        <v>2</v>
      </c>
      <c r="M11" s="14">
        <f>SUMIF(Krenz!$C$5:$C$29,"te",Krenz!$F$5:$F$29)</f>
        <v>6.35</v>
      </c>
      <c r="N11" s="12"/>
      <c r="O11" s="16">
        <f>+COUNTIF(Krenz!$C$5:$C$29,"=k")</f>
        <v>1</v>
      </c>
      <c r="P11" s="14">
        <f>SUMIF(Krenz!$C$5:$C$29,"k",Krenz!$F$5:$F$29)</f>
        <v>3.75</v>
      </c>
      <c r="Q11" s="12"/>
      <c r="R11" s="16">
        <f>+COUNTIF(Krenz!$C$5:$C$29,"=dl")</f>
        <v>6</v>
      </c>
      <c r="S11" s="14">
        <f>SUMIF(Krenz!$C$5:$C$29,"dl",Krenz!$F$5:$F$29)</f>
        <v>17.25</v>
      </c>
      <c r="T11" s="13"/>
      <c r="U11" s="16">
        <f>+COUNTIF(Krenz!$C$5:$C$29,"=db")</f>
        <v>3</v>
      </c>
      <c r="V11" s="14">
        <f>SUMIF(Krenz!$C$5:$C$29,"db",Krenz!$F$5:$F$29)</f>
        <v>6</v>
      </c>
      <c r="W11" s="13"/>
      <c r="X11" s="14">
        <f t="shared" si="0"/>
        <v>81.5</v>
      </c>
      <c r="Y11" s="12"/>
      <c r="Z11" s="14">
        <f t="shared" si="1"/>
        <v>23.25</v>
      </c>
      <c r="AA11" s="12"/>
      <c r="AB11" s="14">
        <f t="shared" si="2"/>
        <v>104.75</v>
      </c>
    </row>
    <row r="12" spans="1:28" s="7" customFormat="1" ht="15" customHeight="1">
      <c r="A12" s="11" t="s">
        <v>25</v>
      </c>
      <c r="C12" s="16">
        <f>+COUNTIF(Coenen!$C$5:$C$29,"=qb")</f>
        <v>3</v>
      </c>
      <c r="D12" s="14">
        <f>SUMIF(Coenen!$C$5:$C$29,"QB",Coenen!$F$5:$F$29)</f>
        <v>12.350000000000001</v>
      </c>
      <c r="E12" s="12"/>
      <c r="F12" s="16">
        <f>+COUNTIF(Coenen!$C$5:$C$29,"=rb")</f>
        <v>3</v>
      </c>
      <c r="G12" s="14">
        <f>SUMIF(Coenen!$C$5:$C$29,"rb",Coenen!$F$5:$F$29)</f>
        <v>62.449999999999996</v>
      </c>
      <c r="H12" s="12"/>
      <c r="I12" s="16">
        <f>+COUNTIF(Coenen!$C$5:$C$29,"=wr")</f>
        <v>6</v>
      </c>
      <c r="J12" s="14">
        <f>SUMIF(Coenen!$C$5:$C$29,"wr",Coenen!$F$5:$F$29)</f>
        <v>26.35</v>
      </c>
      <c r="K12" s="12"/>
      <c r="L12" s="16">
        <f>+COUNTIF(Coenen!$C$5:$C$29,"=te")</f>
        <v>2</v>
      </c>
      <c r="M12" s="14">
        <f>SUMIF(Coenen!$C$5:$C$29,"te",Coenen!$F$5:$F$29)</f>
        <v>2.5</v>
      </c>
      <c r="N12" s="12"/>
      <c r="O12" s="16">
        <f>+COUNTIF(Coenen!$C$5:$C$29,"=k")</f>
        <v>1</v>
      </c>
      <c r="P12" s="14">
        <f>SUMIF(Coenen!$C$5:$C$29,"k",Coenen!$F$5:$F$29)</f>
        <v>2.05</v>
      </c>
      <c r="Q12" s="12"/>
      <c r="R12" s="16">
        <f>+COUNTIF(Coenen!$C$5:$C$29,"=dl")</f>
        <v>7</v>
      </c>
      <c r="S12" s="14">
        <f>SUMIF(Coenen!$C$5:$C$29,"dl",Coenen!$F$5:$F$29)</f>
        <v>19.200000000000003</v>
      </c>
      <c r="T12" s="13"/>
      <c r="U12" s="16">
        <f>+COUNTIF(Coenen!$C$5:$C$29,"=db")</f>
        <v>3</v>
      </c>
      <c r="V12" s="14">
        <f>SUMIF(Coenen!$C$5:$C$29,"db",Coenen!$F$5:$F$29)</f>
        <v>9.05</v>
      </c>
      <c r="W12" s="13"/>
      <c r="X12" s="14">
        <f t="shared" si="0"/>
        <v>105.7</v>
      </c>
      <c r="Y12" s="12"/>
      <c r="Z12" s="14">
        <f t="shared" si="1"/>
        <v>28.250000000000004</v>
      </c>
      <c r="AA12" s="12"/>
      <c r="AB12" s="14">
        <f t="shared" si="2"/>
        <v>133.95000000000002</v>
      </c>
    </row>
    <row r="13" spans="1:28" s="7" customFormat="1" ht="15" customHeight="1">
      <c r="A13" s="11" t="s">
        <v>24</v>
      </c>
      <c r="C13" s="16">
        <f>+COUNTIF(Becker!$C$5:$C$29,"=qb")</f>
        <v>3</v>
      </c>
      <c r="D13" s="14">
        <f>SUMIF(Becker!$C$5:$C$29,"QB",Becker!$F$5:$F$29)</f>
        <v>9.5</v>
      </c>
      <c r="E13" s="12"/>
      <c r="F13" s="16">
        <f>+COUNTIF(Becker!$C$5:$C$29,"=rb")</f>
        <v>5</v>
      </c>
      <c r="G13" s="14">
        <f>SUMIF(Becker!$C$5:$C$29,"rb",Becker!$F$5:$F$29)</f>
        <v>35.4</v>
      </c>
      <c r="H13" s="12"/>
      <c r="I13" s="16">
        <f>+COUNTIF(Becker!$C$5:$C$29,"=wr")</f>
        <v>6</v>
      </c>
      <c r="J13" s="14">
        <f>SUMIF(Becker!$C$5:$C$29,"wr",Becker!$F$5:$F$29)</f>
        <v>27.549999999999997</v>
      </c>
      <c r="K13" s="12"/>
      <c r="L13" s="16">
        <f>+COUNTIF(Becker!$C$5:$C$29,"=te")</f>
        <v>1</v>
      </c>
      <c r="M13" s="14">
        <f>SUMIF(Becker!$C$5:$C$29,"te",Becker!$F$5:$F$29)</f>
        <v>4.7</v>
      </c>
      <c r="N13" s="12"/>
      <c r="O13" s="16">
        <f>+COUNTIF(Becker!$C$5:$C$29,"=k")</f>
        <v>1</v>
      </c>
      <c r="P13" s="14">
        <f>SUMIF(Becker!$C$5:$C$29,"k",Becker!$F$5:$F$29)</f>
        <v>2.15</v>
      </c>
      <c r="Q13" s="12"/>
      <c r="R13" s="16">
        <f>+COUNTIF(Becker!$C$5:$C$29,"=dl")</f>
        <v>6</v>
      </c>
      <c r="S13" s="14">
        <f>SUMIF(Becker!$C$5:$C$29,"dl",Becker!$F$5:$F$29)</f>
        <v>25.1</v>
      </c>
      <c r="T13" s="13"/>
      <c r="U13" s="16">
        <f>+COUNTIF(Becker!$C$5:$C$29,"=db")</f>
        <v>3</v>
      </c>
      <c r="V13" s="14">
        <f>SUMIF(Becker!$C$5:$C$29,"db",Becker!$F$5:$F$29)</f>
        <v>6.35</v>
      </c>
      <c r="W13" s="13"/>
      <c r="X13" s="14">
        <f t="shared" si="0"/>
        <v>79.3</v>
      </c>
      <c r="Y13" s="12"/>
      <c r="Z13" s="14">
        <f t="shared" si="1"/>
        <v>31.450000000000003</v>
      </c>
      <c r="AA13" s="12"/>
      <c r="AB13" s="14">
        <f t="shared" si="2"/>
        <v>110.75</v>
      </c>
    </row>
    <row r="14" spans="1:28" s="7" customFormat="1" ht="15" customHeight="1">
      <c r="A14" s="11" t="s">
        <v>407</v>
      </c>
      <c r="B14" s="11"/>
      <c r="C14" s="16">
        <f>+COUNTIF(Losurdo!$C$5:$C$29,"=qb")</f>
        <v>2</v>
      </c>
      <c r="D14" s="14">
        <f>SUMIF(Losurdo!$C$5:$C$29,"QB",Losurdo!$F$5:$F$29)</f>
        <v>26</v>
      </c>
      <c r="E14" s="12"/>
      <c r="F14" s="16">
        <f>+COUNTIF(Losurdo!$C$5:$C$29,"=rb")</f>
        <v>4</v>
      </c>
      <c r="G14" s="14">
        <f>SUMIF(Losurdo!$C$5:$C$29,"rb",Losurdo!$F$5:$F$29)</f>
        <v>39.4</v>
      </c>
      <c r="H14" s="12"/>
      <c r="I14" s="16">
        <f>+COUNTIF(Losurdo!$C$5:$C$29,"=wr")</f>
        <v>4</v>
      </c>
      <c r="J14" s="14">
        <f>SUMIF(Losurdo!$C$5:$C$29,"wr",Losurdo!$F$5:$F$29)</f>
        <v>43.24999999999999</v>
      </c>
      <c r="K14" s="12"/>
      <c r="L14" s="16">
        <f>+COUNTIF(Losurdo!$C$5:$C$29,"=te")</f>
        <v>2</v>
      </c>
      <c r="M14" s="14">
        <f>SUMIF(Losurdo!$C$5:$C$29,"te",Losurdo!$F$5:$F$29)</f>
        <v>9.55</v>
      </c>
      <c r="N14" s="12"/>
      <c r="O14" s="16">
        <f>+COUNTIF(Losurdo!$C$5:$C$29,"=k")</f>
        <v>1</v>
      </c>
      <c r="P14" s="14">
        <f>SUMIF(Losurdo!$C$5:$C$29,"k",Losurdo!$F$5:$F$29)</f>
        <v>1.75</v>
      </c>
      <c r="Q14" s="12"/>
      <c r="R14" s="16">
        <f>+COUNTIF(Losurdo!$C$5:$C$29,"=dl")</f>
        <v>5</v>
      </c>
      <c r="S14" s="14">
        <f>SUMIF(Losurdo!$C$5:$C$29,"dl",Losurdo!$F$5:$F$29)</f>
        <v>15.6</v>
      </c>
      <c r="T14" s="13"/>
      <c r="U14" s="16">
        <f>+COUNTIF(Losurdo!$C$5:$C$29,"=db")</f>
        <v>2</v>
      </c>
      <c r="V14" s="14">
        <f>SUMIF(Losurdo!$C$5:$C$29,"db",Losurdo!$F$5:$F$29)</f>
        <v>2.85</v>
      </c>
      <c r="W14" s="13"/>
      <c r="X14" s="14">
        <f t="shared" si="0"/>
        <v>119.95</v>
      </c>
      <c r="Y14" s="12"/>
      <c r="Z14" s="14">
        <f t="shared" si="1"/>
        <v>18.45</v>
      </c>
      <c r="AA14" s="12"/>
      <c r="AB14" s="14">
        <f t="shared" si="2"/>
        <v>138.4</v>
      </c>
    </row>
    <row r="15" spans="1:28" s="7" customFormat="1" ht="15" customHeight="1">
      <c r="A15" s="11" t="s">
        <v>12</v>
      </c>
      <c r="C15" s="16">
        <f>+COUNTIF(WoodfordW!$C$5:$C$29,"=qb")</f>
        <v>2</v>
      </c>
      <c r="D15" s="14">
        <f>SUMIF(WoodfordW!$C$5:$C$29,"QB",WoodfordW!$F$5:$F$29)</f>
        <v>2.35</v>
      </c>
      <c r="E15" s="12"/>
      <c r="F15" s="16">
        <f>+COUNTIF(WoodfordW!$C$5:$C$29,"=rb")</f>
        <v>6</v>
      </c>
      <c r="G15" s="14">
        <f>SUMIF(WoodfordW!$C$5:$C$29,"rb",WoodfordW!$F$5:$F$29)</f>
        <v>32.05</v>
      </c>
      <c r="H15" s="12"/>
      <c r="I15" s="16">
        <f>+COUNTIF(WoodfordW!$C$5:$C$29,"=wr")</f>
        <v>4</v>
      </c>
      <c r="J15" s="14">
        <f>SUMIF(WoodfordW!$C$5:$C$29,"wr",WoodfordW!$F$5:$F$29)</f>
        <v>30.85</v>
      </c>
      <c r="K15" s="12"/>
      <c r="L15" s="16">
        <f>+COUNTIF(WoodfordW!$C$5:$C$29,"=te")</f>
        <v>2</v>
      </c>
      <c r="M15" s="14">
        <f>SUMIF(WoodfordW!$C$5:$C$29,"te",WoodfordW!$F$5:$F$29)</f>
        <v>10</v>
      </c>
      <c r="N15" s="12"/>
      <c r="O15" s="16">
        <f>+COUNTIF(WoodfordW!$C$5:$C$29,"=k")</f>
        <v>2</v>
      </c>
      <c r="P15" s="14">
        <f>SUMIF(WoodfordW!$C$5:$C$29,"k",WoodfordW!$F$5:$F$29)</f>
        <v>2.75</v>
      </c>
      <c r="Q15" s="12"/>
      <c r="R15" s="16">
        <f>+COUNTIF(WoodfordW!$C$5:$C$29,"=dl")</f>
        <v>5</v>
      </c>
      <c r="S15" s="14">
        <f>SUMIF(WoodfordW!$C$5:$C$29,"dl",WoodfordW!$F$5:$F$29)</f>
        <v>6</v>
      </c>
      <c r="T15" s="13"/>
      <c r="U15" s="16">
        <f>+COUNTIF(WoodfordW!$C$5:$C$29,"=db")</f>
        <v>3</v>
      </c>
      <c r="V15" s="14">
        <f>SUMIF(WoodfordW!$C$5:$C$29,"db",WoodfordW!$F$5:$F$29)</f>
        <v>4.949999999999999</v>
      </c>
      <c r="W15" s="13"/>
      <c r="X15" s="14">
        <f t="shared" si="0"/>
        <v>78</v>
      </c>
      <c r="Y15" s="12"/>
      <c r="Z15" s="14">
        <f t="shared" si="1"/>
        <v>10.95</v>
      </c>
      <c r="AA15" s="12"/>
      <c r="AB15" s="14">
        <f t="shared" si="2"/>
        <v>88.95</v>
      </c>
    </row>
    <row r="16" spans="1:28" s="7" customFormat="1" ht="15" customHeight="1">
      <c r="A16" s="11" t="s">
        <v>17</v>
      </c>
      <c r="B16" s="11"/>
      <c r="C16" s="16">
        <f>+COUNTIF(Rittenhouse!$C$5:$C$29,"=qb")</f>
        <v>3</v>
      </c>
      <c r="D16" s="14">
        <f>SUMIF(Rittenhouse!$C$5:$C$29,"QB",Rittenhouse!$F$5:$F$29)</f>
        <v>11.7</v>
      </c>
      <c r="E16" s="12"/>
      <c r="F16" s="16">
        <f>+COUNTIF(Rittenhouse!$C$5:$C$29,"=rb")</f>
        <v>4</v>
      </c>
      <c r="G16" s="14">
        <f>SUMIF(Rittenhouse!$C$5:$C$29,"rb",Rittenhouse!$F$5:$F$29)</f>
        <v>72</v>
      </c>
      <c r="H16" s="12"/>
      <c r="I16" s="16">
        <f>+COUNTIF(Rittenhouse!$C$5:$C$29,"=wr")</f>
        <v>6</v>
      </c>
      <c r="J16" s="14">
        <f>SUMIF(Rittenhouse!$C$5:$C$29,"wr",Rittenhouse!$F$5:$F$29)</f>
        <v>35.75</v>
      </c>
      <c r="K16" s="12"/>
      <c r="L16" s="16">
        <f>+COUNTIF(Rittenhouse!$C$5:$C$29,"=te")</f>
        <v>1</v>
      </c>
      <c r="M16" s="14">
        <f>SUMIF(Rittenhouse!$C$5:$C$29,"te",Rittenhouse!$F$5:$F$29)</f>
        <v>4.15</v>
      </c>
      <c r="N16" s="12"/>
      <c r="O16" s="16">
        <f>+COUNTIF(Rittenhouse!$C$5:$C$29,"=k")</f>
        <v>2</v>
      </c>
      <c r="P16" s="14">
        <f>SUMIF(Rittenhouse!$C$5:$C$29,"k",Rittenhouse!$F$5:$F$29)</f>
        <v>4.35</v>
      </c>
      <c r="Q16" s="12"/>
      <c r="R16" s="16">
        <f>+COUNTIF(Rittenhouse!$C$5:$C$29,"=dl")</f>
        <v>6</v>
      </c>
      <c r="S16" s="14">
        <f>SUMIF(Rittenhouse!$C$5:$C$29,"dl",Rittenhouse!$F$5:$F$29)</f>
        <v>7.1</v>
      </c>
      <c r="T16" s="13"/>
      <c r="U16" s="16">
        <f>+COUNTIF(Rittenhouse!$C$5:$C$29,"=db")</f>
        <v>3</v>
      </c>
      <c r="V16" s="14">
        <f>SUMIF(Rittenhouse!$C$5:$C$29,"db",Rittenhouse!$F$5:$F$29)</f>
        <v>4.7</v>
      </c>
      <c r="W16" s="13"/>
      <c r="X16" s="14">
        <f t="shared" si="0"/>
        <v>127.95</v>
      </c>
      <c r="Y16" s="12"/>
      <c r="Z16" s="14">
        <f t="shared" si="1"/>
        <v>11.8</v>
      </c>
      <c r="AA16" s="12"/>
      <c r="AB16" s="14">
        <f t="shared" si="2"/>
        <v>139.75</v>
      </c>
    </row>
    <row r="17" spans="1:28" s="7" customFormat="1" ht="15" customHeight="1">
      <c r="A17" s="11" t="s">
        <v>20</v>
      </c>
      <c r="C17" s="16">
        <f>+COUNTIF(Deffner!$C$5:$C$29,"=qb")</f>
        <v>2</v>
      </c>
      <c r="D17" s="14">
        <f>SUMIF(Deffner!$C$5:$C$29,"QB",Deffner!$F$5:$F$29)</f>
        <v>31.25</v>
      </c>
      <c r="E17" s="12"/>
      <c r="F17" s="16">
        <f>+COUNTIF(Deffner!$C$5:$C$29,"=rb")</f>
        <v>6</v>
      </c>
      <c r="G17" s="14">
        <f>SUMIF(Deffner!$C$5:$C$29,"rb",Deffner!$F$5:$F$29)</f>
        <v>27.9</v>
      </c>
      <c r="H17" s="12"/>
      <c r="I17" s="16">
        <f>+COUNTIF(Deffner!$C$5:$C$29,"=wr")</f>
        <v>6</v>
      </c>
      <c r="J17" s="14">
        <f>SUMIF(Deffner!$C$5:$C$29,"wr",Deffner!$F$5:$F$29)</f>
        <v>27.75</v>
      </c>
      <c r="K17" s="12"/>
      <c r="L17" s="16">
        <f>+COUNTIF(Deffner!$C$5:$C$29,"=te")</f>
        <v>1</v>
      </c>
      <c r="M17" s="14">
        <f>SUMIF(Deffner!$C$5:$C$29,"te",Deffner!$F$5:$F$29)</f>
        <v>1</v>
      </c>
      <c r="N17" s="12"/>
      <c r="O17" s="16">
        <f>+COUNTIF(Deffner!$C$5:$C$29,"=k")</f>
        <v>1</v>
      </c>
      <c r="P17" s="14">
        <f>SUMIF(Deffner!$C$5:$C$29,"k",Deffner!$F$5:$F$29)</f>
        <v>2</v>
      </c>
      <c r="Q17" s="12"/>
      <c r="R17" s="16">
        <f>+COUNTIF(Deffner!$C$5:$C$29,"=dl")</f>
        <v>4</v>
      </c>
      <c r="S17" s="14">
        <f>SUMIF(Deffner!$C$5:$C$29,"dl",Deffner!$F$5:$F$29)</f>
        <v>15.25</v>
      </c>
      <c r="T17" s="13"/>
      <c r="U17" s="16">
        <f>+COUNTIF(Deffner!$C$5:$C$29,"=db")</f>
        <v>4</v>
      </c>
      <c r="V17" s="14">
        <f>SUMIF(Deffner!$C$5:$C$29,"db",Deffner!$F$5:$F$29)</f>
        <v>14.05</v>
      </c>
      <c r="W17" s="13"/>
      <c r="X17" s="14">
        <f t="shared" si="0"/>
        <v>89.9</v>
      </c>
      <c r="Y17" s="12"/>
      <c r="Z17" s="14">
        <f t="shared" si="1"/>
        <v>29.3</v>
      </c>
      <c r="AA17" s="12"/>
      <c r="AB17" s="14">
        <f t="shared" si="2"/>
        <v>119.2</v>
      </c>
    </row>
    <row r="18" spans="1:28" s="7" customFormat="1" ht="15" customHeight="1">
      <c r="A18" s="11" t="s">
        <v>16</v>
      </c>
      <c r="C18" s="16">
        <f>+COUNTIF(Bellaire!$C$5:$C$29,"=qb")</f>
        <v>3</v>
      </c>
      <c r="D18" s="14">
        <f>SUMIF(Bellaire!$C$5:$C$29,"QB",Bellaire!$F$5:$F$29)</f>
        <v>16.1</v>
      </c>
      <c r="E18" s="12"/>
      <c r="F18" s="16">
        <f>+COUNTIF(Bellaire!$C$5:$C$29,"=rb")</f>
        <v>5</v>
      </c>
      <c r="G18" s="14">
        <f>SUMIF(Bellaire!$C$5:$C$29,"rb",Bellaire!$F$5:$F$29)</f>
        <v>40.45</v>
      </c>
      <c r="H18" s="12"/>
      <c r="I18" s="16">
        <f>+COUNTIF(Bellaire!$C$5:$C$29,"=wr")</f>
        <v>6</v>
      </c>
      <c r="J18" s="14">
        <f>SUMIF(Bellaire!$C$5:$C$29,"wr",Bellaire!$F$5:$F$29)</f>
        <v>32.400000000000006</v>
      </c>
      <c r="K18" s="12"/>
      <c r="L18" s="16">
        <f>+COUNTIF(Bellaire!$C$5:$C$29,"=te")</f>
        <v>2</v>
      </c>
      <c r="M18" s="14">
        <f>SUMIF(Bellaire!$C$5:$C$29,"te",Bellaire!$F$5:$F$29)</f>
        <v>3.8</v>
      </c>
      <c r="N18" s="12"/>
      <c r="O18" s="16">
        <f>+COUNTIF(Bellaire!$C$5:$C$29,"=k")</f>
        <v>1</v>
      </c>
      <c r="P18" s="14">
        <f>SUMIF(Bellaire!$C$5:$C$29,"k",Bellaire!$F$5:$F$29)</f>
        <v>3.35</v>
      </c>
      <c r="Q18" s="12"/>
      <c r="R18" s="16">
        <f>+COUNTIF(Bellaire!$C$5:$C$29,"=dl")</f>
        <v>4</v>
      </c>
      <c r="S18" s="14">
        <f>SUMIF(Bellaire!$C$5:$C$29,"dl",Bellaire!$F$5:$F$29)</f>
        <v>15.3</v>
      </c>
      <c r="T18" s="13"/>
      <c r="U18" s="16">
        <f>+COUNTIF(Bellaire!$C$5:$C$29,"=db")</f>
        <v>3</v>
      </c>
      <c r="V18" s="14">
        <f>SUMIF(Bellaire!$C$5:$C$29,"db",Bellaire!$F$5:$F$29)</f>
        <v>5.5</v>
      </c>
      <c r="W18" s="13"/>
      <c r="X18" s="14">
        <f t="shared" si="0"/>
        <v>96.10000000000001</v>
      </c>
      <c r="Y18" s="12"/>
      <c r="Z18" s="14">
        <f t="shared" si="1"/>
        <v>20.8</v>
      </c>
      <c r="AA18" s="12"/>
      <c r="AB18" s="14">
        <f t="shared" si="2"/>
        <v>116.9</v>
      </c>
    </row>
    <row r="19" spans="1:28" s="7" customFormat="1" ht="15" customHeight="1">
      <c r="A19" s="11" t="s">
        <v>15</v>
      </c>
      <c r="C19" s="16">
        <f>+COUNTIF(WoodfordB!$C$5:$C$29,"=qb")</f>
        <v>3</v>
      </c>
      <c r="D19" s="14">
        <f>SUMIF(WoodfordB!$C$5:$C$29,"QB",WoodfordB!$F$5:$F$29)</f>
        <v>9.8</v>
      </c>
      <c r="E19" s="12"/>
      <c r="F19" s="16">
        <f>+COUNTIF(WoodfordB!$C$5:$C$29,"=rb")</f>
        <v>5</v>
      </c>
      <c r="G19" s="14">
        <f>SUMIF(WoodfordB!$C$5:$C$29,"rb",WoodfordB!$F$5:$F$29)</f>
        <v>16.3</v>
      </c>
      <c r="H19" s="12"/>
      <c r="I19" s="16">
        <f>+COUNTIF(WoodfordB!$C$5:$C$29,"=wr")</f>
        <v>6</v>
      </c>
      <c r="J19" s="14">
        <f>SUMIF(WoodfordB!$C$5:$C$29,"wr",WoodfordB!$F$5:$F$29)</f>
        <v>27.950000000000003</v>
      </c>
      <c r="K19" s="12"/>
      <c r="L19" s="16">
        <f>+COUNTIF(WoodfordB!$C$5:$C$29,"=te")</f>
        <v>1</v>
      </c>
      <c r="M19" s="14">
        <f>SUMIF(WoodfordB!$C$5:$C$29,"te",WoodfordB!$F$5:$F$29)</f>
        <v>1.85</v>
      </c>
      <c r="N19" s="12"/>
      <c r="O19" s="16">
        <f>+COUNTIF(WoodfordB!$C$5:$C$29,"=k")</f>
        <v>2</v>
      </c>
      <c r="P19" s="14">
        <f>SUMIF(WoodfordB!$C$5:$C$29,"k",WoodfordB!$F$5:$F$29)</f>
        <v>2.35</v>
      </c>
      <c r="Q19" s="12"/>
      <c r="R19" s="16">
        <f>+COUNTIF(WoodfordB!$C$5:$C$29,"=dl")</f>
        <v>5</v>
      </c>
      <c r="S19" s="14">
        <f>SUMIF(WoodfordB!$C$5:$C$29,"dl",WoodfordB!$F$5:$F$29)</f>
        <v>12.25</v>
      </c>
      <c r="T19" s="13"/>
      <c r="U19" s="16">
        <f>+COUNTIF(WoodfordB!$C$5:$C$29,"=db")</f>
        <v>3</v>
      </c>
      <c r="V19" s="14">
        <f>SUMIF(WoodfordB!$C$5:$C$29,"db",WoodfordB!$F$5:$F$29)</f>
        <v>5.35</v>
      </c>
      <c r="W19" s="13"/>
      <c r="X19" s="14">
        <f t="shared" si="0"/>
        <v>58.25000000000001</v>
      </c>
      <c r="Y19" s="12"/>
      <c r="Z19" s="14">
        <f t="shared" si="1"/>
        <v>17.6</v>
      </c>
      <c r="AA19" s="12"/>
      <c r="AB19" s="14">
        <f t="shared" si="2"/>
        <v>75.85000000000001</v>
      </c>
    </row>
    <row r="20" spans="1:28" s="7" customFormat="1" ht="15" customHeight="1">
      <c r="A20" s="11" t="s">
        <v>7</v>
      </c>
      <c r="C20" s="16">
        <f>+COUNTIF(Hunt!$C$5:$C$29,"=qb")</f>
        <v>3</v>
      </c>
      <c r="D20" s="14">
        <f>SUMIF(Hunt!$C$5:$C$29,"QB",Hunt!$F$5:$F$29)</f>
        <v>11.55</v>
      </c>
      <c r="E20" s="12"/>
      <c r="F20" s="16">
        <f>+COUNTIF(Hunt!$C$5:$C$29,"=rb")</f>
        <v>3</v>
      </c>
      <c r="G20" s="14">
        <f>SUMIF(Hunt!$C$5:$C$29,"rb",Hunt!$F$5:$F$29)</f>
        <v>40.95</v>
      </c>
      <c r="H20" s="12"/>
      <c r="I20" s="16">
        <f>+COUNTIF(Hunt!$C$5:$C$29,"=wr")</f>
        <v>7</v>
      </c>
      <c r="J20" s="14">
        <f>SUMIF(Hunt!$C$5:$C$29,"wr",Hunt!$F$5:$F$29)</f>
        <v>20.4</v>
      </c>
      <c r="K20" s="12"/>
      <c r="L20" s="16">
        <f>+COUNTIF(Hunt!$C$5:$C$29,"=te")</f>
        <v>1</v>
      </c>
      <c r="M20" s="14">
        <f>SUMIF(Hunt!$C$5:$C$29,"te",Hunt!$F$5:$F$29)</f>
        <v>1.25</v>
      </c>
      <c r="N20" s="12"/>
      <c r="O20" s="16">
        <f>+COUNTIF(Hunt!$C$5:$C$29,"=k")</f>
        <v>2</v>
      </c>
      <c r="P20" s="14">
        <f>SUMIF(Hunt!$C$5:$C$29,"k",Hunt!$F$5:$F$29)</f>
        <v>2.5</v>
      </c>
      <c r="Q20" s="12"/>
      <c r="R20" s="16">
        <f>+COUNTIF(Hunt!$C$5:$C$29,"=dl")</f>
        <v>5</v>
      </c>
      <c r="S20" s="14">
        <f>SUMIF(Hunt!$C$5:$C$29,"dl",Hunt!$F$5:$F$29)</f>
        <v>11.2</v>
      </c>
      <c r="T20" s="13"/>
      <c r="U20" s="16">
        <f>+COUNTIF(Hunt!$C$5:$C$29,"=db")</f>
        <v>4</v>
      </c>
      <c r="V20" s="14">
        <f>SUMIF(Hunt!$C$5:$C$29,"db",Hunt!$F$5:$F$29)</f>
        <v>6.1</v>
      </c>
      <c r="W20" s="13"/>
      <c r="X20" s="14">
        <f t="shared" si="0"/>
        <v>76.65</v>
      </c>
      <c r="Y20" s="12"/>
      <c r="Z20" s="14">
        <f t="shared" si="1"/>
        <v>17.299999999999997</v>
      </c>
      <c r="AA20" s="12"/>
      <c r="AB20" s="14">
        <f t="shared" si="2"/>
        <v>93.95</v>
      </c>
    </row>
    <row r="21" spans="1:28" s="7" customFormat="1" ht="15" customHeight="1">
      <c r="A21" s="11" t="s">
        <v>11</v>
      </c>
      <c r="C21" s="16">
        <f>+COUNTIF(Mehta!$C$5:$C$29,"qb")</f>
        <v>4</v>
      </c>
      <c r="D21" s="14">
        <f>SUMIF(Mehta!$C$5:$C$29,"QB",Mehta!$F$5:$F$29)</f>
        <v>11.75</v>
      </c>
      <c r="E21" s="12"/>
      <c r="F21" s="16">
        <f>+COUNTIF(Mehta!$C$5:$C$29,"rb")</f>
        <v>4</v>
      </c>
      <c r="G21" s="14">
        <f>SUMIF(Mehta!$C$5:$C$29,"rb",Mehta!$F$5:$F$29)</f>
        <v>4.75</v>
      </c>
      <c r="H21" s="12"/>
      <c r="I21" s="16">
        <f>+COUNTIF(Mehta!$C$5:$C$29,"wr")</f>
        <v>5</v>
      </c>
      <c r="J21" s="14">
        <f>SUMIF(Mehta!$C$5:$C$29,"wr",Mehta!$F$5:$F$29)</f>
        <v>30.65</v>
      </c>
      <c r="K21" s="12"/>
      <c r="L21" s="16">
        <f>+COUNTIF(Mehta!$C$5:$C$29,"te")</f>
        <v>2</v>
      </c>
      <c r="M21" s="14">
        <f>SUMIF(Mehta!$C$5:$C$29,"te",Mehta!$F$5:$F$29)</f>
        <v>6.75</v>
      </c>
      <c r="N21" s="12"/>
      <c r="O21" s="16">
        <f>+COUNTIF(Mehta!$C$5:$C$29,"k")</f>
        <v>2</v>
      </c>
      <c r="P21" s="14">
        <f>SUMIF(Mehta!$C$5:$C$29,"k",Mehta!$F$5:$F$29)</f>
        <v>4.55</v>
      </c>
      <c r="Q21" s="12"/>
      <c r="R21" s="16">
        <f>+COUNTIF(Mehta!$C$5:$C$29,"dl")</f>
        <v>5</v>
      </c>
      <c r="S21" s="14">
        <f>SUMIF(Mehta!$C$5:$C$29,"dl",Mehta!$F$5:$F$29)</f>
        <v>9.5</v>
      </c>
      <c r="T21" s="13"/>
      <c r="U21" s="16">
        <f>+COUNTIF(Mehta!$C$5:$C$29,"db")</f>
        <v>3</v>
      </c>
      <c r="V21" s="14">
        <f>SUMIF(Mehta!$C$5:$C$29,"db",Mehta!$F$5:$F$29)</f>
        <v>7</v>
      </c>
      <c r="W21" s="13"/>
      <c r="X21" s="14">
        <f t="shared" si="0"/>
        <v>58.449999999999996</v>
      </c>
      <c r="Y21" s="12"/>
      <c r="Z21" s="14">
        <f t="shared" si="1"/>
        <v>16.5</v>
      </c>
      <c r="AA21" s="12"/>
      <c r="AB21" s="14">
        <f t="shared" si="2"/>
        <v>74.94999999999999</v>
      </c>
    </row>
    <row r="22" spans="1:28" s="7" customFormat="1" ht="15" customHeight="1">
      <c r="A22" s="11" t="s">
        <v>21</v>
      </c>
      <c r="C22" s="16">
        <f>+COUNTIF(Berdie!$C$5:$C$29,"=QB")</f>
        <v>3</v>
      </c>
      <c r="D22" s="14">
        <f>SUMIF(Berdie!$C$5:$C$29,"QB",Berdie!$F$5:$F$29)</f>
        <v>8.05</v>
      </c>
      <c r="E22" s="12"/>
      <c r="F22" s="16">
        <f>+COUNTIF(Berdie!$C$5:$C$29,"=rb")</f>
        <v>5</v>
      </c>
      <c r="G22" s="14">
        <f>SUMIF(Berdie!$C$5:$C$29,"rb",Berdie!$F$5:$F$29)</f>
        <v>28.85</v>
      </c>
      <c r="H22" s="12"/>
      <c r="I22" s="16">
        <f>+COUNTIF(Berdie!$C$5:$C$29,"=wr")</f>
        <v>5</v>
      </c>
      <c r="J22" s="14">
        <f>SUMIF(Berdie!$C$5:$C$29,"wr",Berdie!$F$5:$F$29)</f>
        <v>37</v>
      </c>
      <c r="K22" s="12"/>
      <c r="L22" s="16">
        <f>+COUNTIF(Berdie!$C$5:$C$29,"=te")</f>
        <v>1</v>
      </c>
      <c r="M22" s="14">
        <f>SUMIF(Berdie!$C$5:$C$29,"te",Berdie!$F$5:$F$29)</f>
        <v>2.6</v>
      </c>
      <c r="N22" s="12"/>
      <c r="O22" s="16">
        <f>+COUNTIF(Berdie!$C$5:$C$29,"=k")</f>
        <v>2</v>
      </c>
      <c r="P22" s="14">
        <f>SUMIF(Berdie!$C$5:$C$29,"k",Berdie!$F$5:$F$29)</f>
        <v>4.55</v>
      </c>
      <c r="Q22" s="12"/>
      <c r="R22" s="16">
        <f>+COUNTIF(Berdie!$C$5:$C$29,"=dl")</f>
        <v>5</v>
      </c>
      <c r="S22" s="14">
        <f>SUMIF(Berdie!$C$5:$C$29,"dl",Berdie!$F$5:$F$29)</f>
        <v>13.2</v>
      </c>
      <c r="T22" s="13"/>
      <c r="U22" s="16">
        <f>+COUNTIF(Berdie!$C$5:$C$29,"=db")</f>
        <v>3</v>
      </c>
      <c r="V22" s="14">
        <f>SUMIF(Berdie!$C$5:$C$29,"db",Berdie!$F$5:$F$29)</f>
        <v>7.05</v>
      </c>
      <c r="W22" s="13"/>
      <c r="X22" s="14">
        <f t="shared" si="0"/>
        <v>81.05</v>
      </c>
      <c r="Y22" s="12"/>
      <c r="Z22" s="14">
        <f t="shared" si="1"/>
        <v>20.25</v>
      </c>
      <c r="AA22" s="12"/>
      <c r="AB22" s="14">
        <f t="shared" si="2"/>
        <v>101.3</v>
      </c>
    </row>
    <row r="23" spans="1:28" s="7" customFormat="1" ht="15" customHeight="1">
      <c r="A23" s="11" t="s">
        <v>23</v>
      </c>
      <c r="C23" s="16">
        <f>+COUNTIF(Griswold!$C$5:$C$29,"=qb")</f>
        <v>3</v>
      </c>
      <c r="D23" s="14">
        <f>SUMIF(Griswold!$C$5:$C$29,"QB",Griswold!$F$5:$F$29)</f>
        <v>37.25</v>
      </c>
      <c r="E23" s="12"/>
      <c r="F23" s="16">
        <f>+COUNTIF(Griswold!$C$5:$C$29,"=rb")</f>
        <v>7</v>
      </c>
      <c r="G23" s="14">
        <f>SUMIF(Griswold!$C$5:$C$29,"rb",Griswold!$F$5:$F$29)</f>
        <v>34.8</v>
      </c>
      <c r="H23" s="12"/>
      <c r="I23" s="16">
        <f>+COUNTIF(Griswold!$C$5:$C$29,"=wr")</f>
        <v>7</v>
      </c>
      <c r="J23" s="14">
        <f>SUMIF(Griswold!$C$5:$C$29,"wr",Griswold!$F$5:$F$29)</f>
        <v>22.450000000000003</v>
      </c>
      <c r="K23" s="12"/>
      <c r="L23" s="16">
        <f>+COUNTIF(Griswold!$C$5:$C$29,"=te")</f>
        <v>1</v>
      </c>
      <c r="M23" s="14">
        <f>SUMIF(Griswold!$C$5:$C$29,"te",Griswold!$F$5:$F$29)</f>
        <v>11.6</v>
      </c>
      <c r="N23" s="12"/>
      <c r="O23" s="16">
        <f>+COUNTIF(Griswold!$C$5:$C$29,"=k")</f>
        <v>1</v>
      </c>
      <c r="P23" s="14">
        <f>SUMIF(Griswold!$C$5:$C$29,"k",Griswold!$F$5:$F$29)</f>
        <v>1.9</v>
      </c>
      <c r="Q23" s="12"/>
      <c r="R23" s="16">
        <f>+COUNTIF(Griswold!$C$5:$C$29,"=dl")</f>
        <v>4</v>
      </c>
      <c r="S23" s="14">
        <f>SUMIF(Griswold!$C$5:$C$29,"dl",Griswold!$F$5:$F$29)</f>
        <v>9.8</v>
      </c>
      <c r="T23" s="13"/>
      <c r="U23" s="16">
        <f>+COUNTIF(Griswold!$C$5:$C$29,"=db")</f>
        <v>2</v>
      </c>
      <c r="V23" s="14">
        <f>SUMIF(Griswold!$C$5:$C$29,"db",Griswold!$F$5:$F$29)</f>
        <v>2</v>
      </c>
      <c r="W23" s="13"/>
      <c r="X23" s="14">
        <f t="shared" si="0"/>
        <v>108</v>
      </c>
      <c r="Y23" s="12"/>
      <c r="Z23" s="14">
        <f t="shared" si="1"/>
        <v>11.8</v>
      </c>
      <c r="AA23" s="12"/>
      <c r="AB23" s="14">
        <f t="shared" si="2"/>
        <v>119.8</v>
      </c>
    </row>
    <row r="24" spans="1:28" s="7" customFormat="1" ht="15" customHeight="1">
      <c r="A24" s="11" t="s">
        <v>22</v>
      </c>
      <c r="C24" s="16">
        <f>+COUNTIF('Boyd C'!$C$5:$C$29,"=qb")</f>
        <v>2</v>
      </c>
      <c r="D24" s="14">
        <f>SUMIF('Boyd C'!$C$5:$C$29,"QB",'Boyd C'!$F$5:$F$29)</f>
        <v>5.85</v>
      </c>
      <c r="E24" s="12"/>
      <c r="F24" s="16">
        <f>+COUNTIF('Boyd C'!$C$5:$C$29,"=rb")</f>
        <v>5</v>
      </c>
      <c r="G24" s="14">
        <f>SUMIF('Boyd C'!$C$5:$C$29,"rb",'Boyd C'!$F$5:$F$29)</f>
        <v>26.85</v>
      </c>
      <c r="H24" s="12"/>
      <c r="I24" s="16">
        <f>+COUNTIF('Boyd C'!$C$5:$C$29,"=wr")</f>
        <v>6</v>
      </c>
      <c r="J24" s="14">
        <f>SUMIF('Boyd C'!$C$5:$C$29,"wr",'Boyd C'!$F$5:$F$29)</f>
        <v>61.599999999999994</v>
      </c>
      <c r="K24" s="12"/>
      <c r="L24" s="16">
        <f>+COUNTIF('Boyd C'!$C$5:$C$29,"=te")</f>
        <v>1</v>
      </c>
      <c r="M24" s="14">
        <f>SUMIF('Boyd C'!$C$5:$C$29,"te",'Boyd C'!$F$5:$F$29)</f>
        <v>1</v>
      </c>
      <c r="N24" s="12"/>
      <c r="O24" s="16">
        <f>+COUNTIF('Boyd C'!$C$5:$C$29,"=k")</f>
        <v>2</v>
      </c>
      <c r="P24" s="14">
        <f>SUMIF('Boyd C'!$C$5:$C$29,"k",'Boyd C'!$F$5:$F$29)</f>
        <v>2.2</v>
      </c>
      <c r="Q24" s="12"/>
      <c r="R24" s="16">
        <f>+COUNTIF('Boyd C'!$C$5:$C$29,"=dl")</f>
        <v>6</v>
      </c>
      <c r="S24" s="14">
        <f>SUMIF('Boyd C'!$C$5:$C$29,"dl",'Boyd C'!$F$5:$F$29)</f>
        <v>18.65</v>
      </c>
      <c r="T24" s="13"/>
      <c r="U24" s="16">
        <f>+COUNTIF('Boyd C'!$C$5:$C$29,"=db")</f>
        <v>3</v>
      </c>
      <c r="V24" s="14">
        <f>SUMIF('Boyd C'!$C$5:$C$29,"db",'Boyd C'!$F$5:$F$29)</f>
        <v>5.8</v>
      </c>
      <c r="W24" s="13"/>
      <c r="X24" s="14">
        <f t="shared" si="0"/>
        <v>97.5</v>
      </c>
      <c r="Y24" s="12"/>
      <c r="Z24" s="14">
        <f t="shared" si="1"/>
        <v>24.45</v>
      </c>
      <c r="AA24" s="12"/>
      <c r="AB24" s="14">
        <f t="shared" si="2"/>
        <v>121.95</v>
      </c>
    </row>
    <row r="25" ht="12.75">
      <c r="O25" s="15"/>
    </row>
    <row r="26" spans="1:22" ht="14.25">
      <c r="A26" s="17" t="s">
        <v>56</v>
      </c>
      <c r="D26" s="18">
        <f>+SUM(C5:C24)</f>
        <v>58</v>
      </c>
      <c r="G26" s="18">
        <f>+SUM(F5:F24)</f>
        <v>95</v>
      </c>
      <c r="J26" s="18">
        <f>+SUM(I5:I24)</f>
        <v>107</v>
      </c>
      <c r="M26" s="18">
        <f>+SUM(L5:L24)</f>
        <v>30</v>
      </c>
      <c r="P26" s="18">
        <f>+SUM(O5:O24)</f>
        <v>30</v>
      </c>
      <c r="S26" s="18">
        <f>+SUM(R5:R24)</f>
        <v>110</v>
      </c>
      <c r="V26" s="18">
        <f>+SUM(U5:U24)</f>
        <v>58</v>
      </c>
    </row>
  </sheetData>
  <sheetProtection/>
  <mergeCells count="7">
    <mergeCell ref="O3:P3"/>
    <mergeCell ref="R3:S3"/>
    <mergeCell ref="U3:V3"/>
    <mergeCell ref="C3:D3"/>
    <mergeCell ref="F3:G3"/>
    <mergeCell ref="I3:J3"/>
    <mergeCell ref="L3:M3"/>
  </mergeCells>
  <printOptions/>
  <pageMargins left="0.25" right="0.2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45" t="s">
        <v>428</v>
      </c>
      <c r="C5" s="20" t="s">
        <v>49</v>
      </c>
      <c r="D5" s="20" t="s">
        <v>116</v>
      </c>
      <c r="E5" s="26" t="s">
        <v>64</v>
      </c>
      <c r="F5" s="28">
        <v>2.75</v>
      </c>
      <c r="G5" s="32">
        <v>2009</v>
      </c>
      <c r="I5" s="31">
        <f aca="true" t="shared" si="0" ref="I5:M14">+IF($G5&gt;=I$3,$F5,0)</f>
        <v>2.75</v>
      </c>
      <c r="J5" s="31">
        <f t="shared" si="0"/>
        <v>2.75</v>
      </c>
      <c r="K5" s="31">
        <f t="shared" si="0"/>
        <v>2.75</v>
      </c>
      <c r="L5" s="31">
        <f t="shared" si="0"/>
        <v>2.75</v>
      </c>
      <c r="M5" s="31">
        <f t="shared" si="0"/>
        <v>2.75</v>
      </c>
    </row>
    <row r="6" spans="1:13" ht="12.75">
      <c r="A6" s="24">
        <v>2</v>
      </c>
      <c r="B6" s="19" t="s">
        <v>474</v>
      </c>
      <c r="C6" s="20" t="s">
        <v>53</v>
      </c>
      <c r="D6" s="20" t="s">
        <v>72</v>
      </c>
      <c r="E6" s="20" t="s">
        <v>64</v>
      </c>
      <c r="F6" s="33">
        <v>2.35</v>
      </c>
      <c r="G6" s="34">
        <v>2009</v>
      </c>
      <c r="I6" s="31">
        <f t="shared" si="0"/>
        <v>2.35</v>
      </c>
      <c r="J6" s="31">
        <f t="shared" si="0"/>
        <v>2.35</v>
      </c>
      <c r="K6" s="31">
        <f t="shared" si="0"/>
        <v>2.35</v>
      </c>
      <c r="L6" s="31">
        <f t="shared" si="0"/>
        <v>2.35</v>
      </c>
      <c r="M6" s="31">
        <f t="shared" si="0"/>
        <v>2.35</v>
      </c>
    </row>
    <row r="7" spans="1:13" ht="12.75">
      <c r="A7" s="24">
        <v>3</v>
      </c>
      <c r="B7" s="45" t="s">
        <v>453</v>
      </c>
      <c r="C7" s="20" t="s">
        <v>52</v>
      </c>
      <c r="D7" s="20" t="s">
        <v>91</v>
      </c>
      <c r="E7" s="26" t="s">
        <v>64</v>
      </c>
      <c r="F7" s="28">
        <v>1.25</v>
      </c>
      <c r="G7" s="32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1.25</v>
      </c>
    </row>
    <row r="8" spans="1:13" ht="12.75">
      <c r="A8" s="24">
        <v>4</v>
      </c>
      <c r="B8" s="45" t="s">
        <v>469</v>
      </c>
      <c r="C8" s="20" t="s">
        <v>53</v>
      </c>
      <c r="D8" s="20" t="s">
        <v>63</v>
      </c>
      <c r="E8" s="26" t="s">
        <v>64</v>
      </c>
      <c r="F8" s="28">
        <v>1.25</v>
      </c>
      <c r="G8" s="32">
        <v>2008</v>
      </c>
      <c r="I8" s="31">
        <f t="shared" si="0"/>
        <v>1.25</v>
      </c>
      <c r="J8" s="31">
        <f t="shared" si="0"/>
        <v>1.25</v>
      </c>
      <c r="K8" s="31">
        <f t="shared" si="0"/>
        <v>1.25</v>
      </c>
      <c r="L8" s="31">
        <f t="shared" si="0"/>
        <v>1.25</v>
      </c>
      <c r="M8" s="31">
        <f t="shared" si="0"/>
        <v>0</v>
      </c>
    </row>
    <row r="9" spans="1:13" ht="12.75">
      <c r="A9" s="24">
        <v>5</v>
      </c>
      <c r="B9" s="25" t="s">
        <v>299</v>
      </c>
      <c r="C9" s="20" t="s">
        <v>47</v>
      </c>
      <c r="D9" s="20" t="s">
        <v>76</v>
      </c>
      <c r="E9" s="26" t="s">
        <v>64</v>
      </c>
      <c r="F9" s="28">
        <v>1.1</v>
      </c>
      <c r="G9" s="32">
        <v>2008</v>
      </c>
      <c r="I9" s="31">
        <f t="shared" si="0"/>
        <v>1.1</v>
      </c>
      <c r="J9" s="31">
        <f t="shared" si="0"/>
        <v>1.1</v>
      </c>
      <c r="K9" s="31">
        <f t="shared" si="0"/>
        <v>1.1</v>
      </c>
      <c r="L9" s="31">
        <f t="shared" si="0"/>
        <v>1.1</v>
      </c>
      <c r="M9" s="31">
        <f t="shared" si="0"/>
        <v>0</v>
      </c>
    </row>
    <row r="10" spans="1:13" ht="12.75">
      <c r="A10" s="24">
        <v>6</v>
      </c>
      <c r="B10" s="25" t="s">
        <v>81</v>
      </c>
      <c r="C10" s="20" t="s">
        <v>49</v>
      </c>
      <c r="D10" s="20" t="s">
        <v>82</v>
      </c>
      <c r="E10" s="20" t="s">
        <v>64</v>
      </c>
      <c r="F10" s="28">
        <v>1.1</v>
      </c>
      <c r="G10" s="32">
        <v>2008</v>
      </c>
      <c r="I10" s="31">
        <f t="shared" si="0"/>
        <v>1.1</v>
      </c>
      <c r="J10" s="31">
        <f t="shared" si="0"/>
        <v>1.1</v>
      </c>
      <c r="K10" s="31">
        <f t="shared" si="0"/>
        <v>1.1</v>
      </c>
      <c r="L10" s="31">
        <f t="shared" si="0"/>
        <v>1.1</v>
      </c>
      <c r="M10" s="31">
        <f t="shared" si="0"/>
        <v>0</v>
      </c>
    </row>
    <row r="11" spans="1:13" ht="12.75">
      <c r="A11" s="24">
        <v>7</v>
      </c>
      <c r="B11" s="19" t="s">
        <v>367</v>
      </c>
      <c r="C11" s="20" t="s">
        <v>53</v>
      </c>
      <c r="D11" s="20" t="s">
        <v>68</v>
      </c>
      <c r="E11" s="20" t="s">
        <v>64</v>
      </c>
      <c r="F11" s="33">
        <v>1.1</v>
      </c>
      <c r="G11" s="34">
        <v>2008</v>
      </c>
      <c r="I11" s="31">
        <f t="shared" si="0"/>
        <v>1.1</v>
      </c>
      <c r="J11" s="31">
        <f t="shared" si="0"/>
        <v>1.1</v>
      </c>
      <c r="K11" s="31">
        <f t="shared" si="0"/>
        <v>1.1</v>
      </c>
      <c r="L11" s="31">
        <f t="shared" si="0"/>
        <v>1.1</v>
      </c>
      <c r="M11" s="31">
        <f t="shared" si="0"/>
        <v>0</v>
      </c>
    </row>
    <row r="12" spans="1:13" ht="12.75">
      <c r="A12" s="24">
        <v>8</v>
      </c>
      <c r="B12" s="19" t="s">
        <v>392</v>
      </c>
      <c r="C12" s="20" t="s">
        <v>52</v>
      </c>
      <c r="D12" s="20" t="s">
        <v>80</v>
      </c>
      <c r="E12" s="20" t="s">
        <v>64</v>
      </c>
      <c r="F12" s="33">
        <v>1.1</v>
      </c>
      <c r="G12" s="34">
        <v>2008</v>
      </c>
      <c r="I12" s="31">
        <f t="shared" si="0"/>
        <v>1.1</v>
      </c>
      <c r="J12" s="31">
        <f t="shared" si="0"/>
        <v>1.1</v>
      </c>
      <c r="K12" s="31">
        <f t="shared" si="0"/>
        <v>1.1</v>
      </c>
      <c r="L12" s="31">
        <f t="shared" si="0"/>
        <v>1.1</v>
      </c>
      <c r="M12" s="31">
        <f t="shared" si="0"/>
        <v>0</v>
      </c>
    </row>
    <row r="13" spans="1:13" ht="12.75">
      <c r="A13" s="24">
        <v>9</v>
      </c>
      <c r="B13" s="25" t="s">
        <v>362</v>
      </c>
      <c r="C13" s="20" t="s">
        <v>47</v>
      </c>
      <c r="D13" s="20" t="s">
        <v>82</v>
      </c>
      <c r="E13" s="26" t="s">
        <v>64</v>
      </c>
      <c r="F13" s="28">
        <v>7.9</v>
      </c>
      <c r="G13" s="32">
        <v>2007</v>
      </c>
      <c r="I13" s="31">
        <f t="shared" si="0"/>
        <v>7.9</v>
      </c>
      <c r="J13" s="31">
        <f t="shared" si="0"/>
        <v>7.9</v>
      </c>
      <c r="K13" s="31">
        <f t="shared" si="0"/>
        <v>7.9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45" t="s">
        <v>478</v>
      </c>
      <c r="C14" s="20" t="s">
        <v>51</v>
      </c>
      <c r="D14" s="20" t="s">
        <v>78</v>
      </c>
      <c r="E14" s="26" t="s">
        <v>64</v>
      </c>
      <c r="F14" s="28">
        <v>3.25</v>
      </c>
      <c r="G14" s="32">
        <v>2007</v>
      </c>
      <c r="I14" s="31">
        <f t="shared" si="0"/>
        <v>3.25</v>
      </c>
      <c r="J14" s="31">
        <f t="shared" si="0"/>
        <v>3.25</v>
      </c>
      <c r="K14" s="31">
        <f t="shared" si="0"/>
        <v>3.25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19" t="s">
        <v>576</v>
      </c>
      <c r="C15" s="20" t="s">
        <v>52</v>
      </c>
      <c r="D15" s="20" t="s">
        <v>82</v>
      </c>
      <c r="E15" s="26" t="s">
        <v>64</v>
      </c>
      <c r="F15" s="28">
        <v>1.25</v>
      </c>
      <c r="G15" s="32">
        <v>2007</v>
      </c>
      <c r="I15" s="31">
        <f aca="true" t="shared" si="1" ref="I15:M29">+IF($G15&gt;=I$3,$F15,0)</f>
        <v>1.25</v>
      </c>
      <c r="J15" s="31">
        <f t="shared" si="1"/>
        <v>1.25</v>
      </c>
      <c r="K15" s="31">
        <f t="shared" si="1"/>
        <v>1.25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19" t="s">
        <v>366</v>
      </c>
      <c r="C16" s="20" t="s">
        <v>51</v>
      </c>
      <c r="D16" s="20" t="s">
        <v>91</v>
      </c>
      <c r="E16" s="20" t="s">
        <v>64</v>
      </c>
      <c r="F16" s="33">
        <v>1.1</v>
      </c>
      <c r="G16" s="34">
        <v>2007</v>
      </c>
      <c r="I16" s="31">
        <f t="shared" si="1"/>
        <v>1.1</v>
      </c>
      <c r="J16" s="31">
        <f t="shared" si="1"/>
        <v>1.1</v>
      </c>
      <c r="K16" s="31">
        <f t="shared" si="1"/>
        <v>1.1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19" t="s">
        <v>489</v>
      </c>
      <c r="C17" s="20" t="s">
        <v>48</v>
      </c>
      <c r="D17" s="20" t="s">
        <v>110</v>
      </c>
      <c r="E17" s="20" t="s">
        <v>64</v>
      </c>
      <c r="F17" s="33">
        <v>22.95</v>
      </c>
      <c r="G17" s="34">
        <v>2006</v>
      </c>
      <c r="I17" s="31">
        <f t="shared" si="1"/>
        <v>22.95</v>
      </c>
      <c r="J17" s="31">
        <f t="shared" si="1"/>
        <v>22.95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429</v>
      </c>
      <c r="C18" s="20" t="s">
        <v>48</v>
      </c>
      <c r="D18" s="20" t="s">
        <v>116</v>
      </c>
      <c r="E18" s="26" t="s">
        <v>64</v>
      </c>
      <c r="F18" s="28">
        <v>10.6</v>
      </c>
      <c r="G18" s="32">
        <v>2006</v>
      </c>
      <c r="I18" s="31">
        <f t="shared" si="1"/>
        <v>10.6</v>
      </c>
      <c r="J18" s="31">
        <f t="shared" si="1"/>
        <v>10.6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19" t="s">
        <v>368</v>
      </c>
      <c r="C19" s="20" t="s">
        <v>48</v>
      </c>
      <c r="D19" s="20" t="s">
        <v>84</v>
      </c>
      <c r="E19" s="20" t="s">
        <v>64</v>
      </c>
      <c r="F19" s="33">
        <v>4.45</v>
      </c>
      <c r="G19" s="34">
        <v>2006</v>
      </c>
      <c r="I19" s="31">
        <f t="shared" si="1"/>
        <v>4.45</v>
      </c>
      <c r="J19" s="31">
        <f t="shared" si="1"/>
        <v>4.45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292</v>
      </c>
      <c r="C20" s="20" t="s">
        <v>50</v>
      </c>
      <c r="D20" s="20" t="s">
        <v>146</v>
      </c>
      <c r="E20" s="26" t="s">
        <v>64</v>
      </c>
      <c r="F20" s="28">
        <v>4.15</v>
      </c>
      <c r="G20" s="32">
        <v>2006</v>
      </c>
      <c r="I20" s="31">
        <f t="shared" si="1"/>
        <v>4.15</v>
      </c>
      <c r="J20" s="31">
        <f t="shared" si="1"/>
        <v>4.15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25" t="s">
        <v>319</v>
      </c>
      <c r="C21" s="20" t="s">
        <v>47</v>
      </c>
      <c r="D21" s="20" t="s">
        <v>76</v>
      </c>
      <c r="E21" s="26" t="s">
        <v>64</v>
      </c>
      <c r="F21" s="28">
        <v>2.7</v>
      </c>
      <c r="G21" s="32">
        <v>2006</v>
      </c>
      <c r="I21" s="31">
        <f t="shared" si="1"/>
        <v>2.7</v>
      </c>
      <c r="J21" s="31">
        <f t="shared" si="1"/>
        <v>2.7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19" t="s">
        <v>295</v>
      </c>
      <c r="C22" s="20" t="s">
        <v>52</v>
      </c>
      <c r="D22" s="20" t="s">
        <v>116</v>
      </c>
      <c r="E22" s="20" t="s">
        <v>64</v>
      </c>
      <c r="F22" s="33">
        <v>1</v>
      </c>
      <c r="G22" s="34">
        <v>2006</v>
      </c>
      <c r="I22" s="31">
        <f t="shared" si="1"/>
        <v>1</v>
      </c>
      <c r="J22" s="31">
        <f t="shared" si="1"/>
        <v>1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44" t="s">
        <v>421</v>
      </c>
      <c r="C23" s="20" t="s">
        <v>48</v>
      </c>
      <c r="D23" s="20" t="s">
        <v>84</v>
      </c>
      <c r="E23" s="26" t="s">
        <v>402</v>
      </c>
      <c r="F23" s="28">
        <v>34</v>
      </c>
      <c r="G23" s="32">
        <v>2005</v>
      </c>
      <c r="I23" s="31">
        <f t="shared" si="1"/>
        <v>34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25" t="s">
        <v>296</v>
      </c>
      <c r="C24" s="20" t="s">
        <v>49</v>
      </c>
      <c r="D24" s="20" t="s">
        <v>99</v>
      </c>
      <c r="E24" s="26" t="s">
        <v>64</v>
      </c>
      <c r="F24" s="28">
        <v>20.4</v>
      </c>
      <c r="G24" s="32">
        <v>2005</v>
      </c>
      <c r="I24" s="31">
        <f t="shared" si="1"/>
        <v>20.4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45" t="s">
        <v>525</v>
      </c>
      <c r="C25" s="20" t="s">
        <v>49</v>
      </c>
      <c r="D25" s="20" t="s">
        <v>150</v>
      </c>
      <c r="E25" s="26" t="s">
        <v>64</v>
      </c>
      <c r="F25" s="28">
        <v>9.25</v>
      </c>
      <c r="G25" s="32">
        <v>2005</v>
      </c>
      <c r="I25" s="31">
        <f t="shared" si="1"/>
        <v>9.25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19" t="s">
        <v>640</v>
      </c>
      <c r="C26" s="20" t="s">
        <v>49</v>
      </c>
      <c r="D26" s="20" t="s">
        <v>116</v>
      </c>
      <c r="E26" s="20" t="s">
        <v>64</v>
      </c>
      <c r="F26" s="33">
        <v>1.25</v>
      </c>
      <c r="G26" s="34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45" t="s">
        <v>612</v>
      </c>
      <c r="C27" s="20" t="s">
        <v>52</v>
      </c>
      <c r="D27" s="20" t="s">
        <v>68</v>
      </c>
      <c r="E27" s="20" t="s">
        <v>64</v>
      </c>
      <c r="F27" s="28">
        <v>1.25</v>
      </c>
      <c r="G27" s="32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25" t="s">
        <v>627</v>
      </c>
      <c r="C28" s="20" t="s">
        <v>52</v>
      </c>
      <c r="D28" s="20" t="s">
        <v>116</v>
      </c>
      <c r="E28" s="26" t="s">
        <v>64</v>
      </c>
      <c r="F28" s="28">
        <v>1.25</v>
      </c>
      <c r="G28" s="32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25" t="s">
        <v>297</v>
      </c>
      <c r="C29" s="20" t="s">
        <v>49</v>
      </c>
      <c r="D29" s="20" t="s">
        <v>156</v>
      </c>
      <c r="E29" s="26" t="s">
        <v>64</v>
      </c>
      <c r="F29" s="28">
        <v>1</v>
      </c>
      <c r="G29" s="32">
        <v>2005</v>
      </c>
      <c r="I29" s="31">
        <f t="shared" si="1"/>
        <v>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9:13" ht="12.75">
      <c r="I31" s="36">
        <f>+SUM(I5:I29)</f>
        <v>139.75</v>
      </c>
      <c r="J31" s="36">
        <f>+SUM(J5:J29)</f>
        <v>71.35000000000001</v>
      </c>
      <c r="K31" s="36">
        <f>+SUM(K5:K29)</f>
        <v>25.5</v>
      </c>
      <c r="L31" s="36">
        <f>+SUM(L5:L29)</f>
        <v>11.999999999999998</v>
      </c>
      <c r="M31" s="36">
        <f>+SUM(M5:M29)</f>
        <v>6.35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19" t="s">
        <v>365</v>
      </c>
      <c r="C37" s="20" t="s">
        <v>52</v>
      </c>
      <c r="D37" s="20" t="s">
        <v>80</v>
      </c>
      <c r="E37" s="20">
        <v>2004</v>
      </c>
      <c r="F37" s="33">
        <v>1.1</v>
      </c>
      <c r="G37" s="34">
        <v>2006</v>
      </c>
      <c r="I37" s="31">
        <f aca="true" t="shared" si="2" ref="I37:I51">+CEILING(IF($I$35=E37,F37,IF($I$35&lt;=G37,F37*0.3,0)),0.05)</f>
        <v>0.35000000000000003</v>
      </c>
      <c r="J37" s="31">
        <f aca="true" t="shared" si="3" ref="J37:J51">+CEILING(IF($J$35&lt;=G37,F37*0.3,0),0.05)</f>
        <v>0.35000000000000003</v>
      </c>
      <c r="K37" s="31">
        <f aca="true" t="shared" si="4" ref="K37:K51">+CEILING(IF($K$35&lt;=G37,F37*0.3,0),0.05)</f>
        <v>0</v>
      </c>
      <c r="L37" s="31">
        <f aca="true" t="shared" si="5" ref="L37:L51">+CEILING(IF($L$35&lt;=G37,F37*0.3,0),0.05)</f>
        <v>0</v>
      </c>
      <c r="M37" s="31">
        <f aca="true" t="shared" si="6" ref="M37:M51">CEILING(IF($M$35&lt;=G37,F37*0.3,0),0.05)</f>
        <v>0</v>
      </c>
    </row>
    <row r="38" spans="1:13" ht="12.75">
      <c r="A38" s="24">
        <v>2</v>
      </c>
      <c r="B38" s="19" t="s">
        <v>393</v>
      </c>
      <c r="C38" s="20" t="s">
        <v>52</v>
      </c>
      <c r="D38" s="20" t="s">
        <v>146</v>
      </c>
      <c r="E38" s="20">
        <v>2004</v>
      </c>
      <c r="F38" s="33">
        <v>1.1</v>
      </c>
      <c r="G38" s="34">
        <v>2006</v>
      </c>
      <c r="I38" s="31">
        <f t="shared" si="2"/>
        <v>0.35000000000000003</v>
      </c>
      <c r="J38" s="31">
        <f t="shared" si="3"/>
        <v>0.35000000000000003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4">
        <v>3</v>
      </c>
      <c r="B39" s="25" t="s">
        <v>293</v>
      </c>
      <c r="C39" s="20" t="s">
        <v>52</v>
      </c>
      <c r="D39" s="20" t="s">
        <v>118</v>
      </c>
      <c r="E39" s="26">
        <v>2004</v>
      </c>
      <c r="F39" s="28">
        <v>1</v>
      </c>
      <c r="G39" s="32">
        <v>2006</v>
      </c>
      <c r="I39" s="31">
        <f t="shared" si="2"/>
        <v>0.30000000000000004</v>
      </c>
      <c r="J39" s="31">
        <f t="shared" si="3"/>
        <v>0.30000000000000004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B40" s="19" t="s">
        <v>294</v>
      </c>
      <c r="C40" s="20" t="s">
        <v>48</v>
      </c>
      <c r="D40" s="20" t="s">
        <v>66</v>
      </c>
      <c r="E40" s="20">
        <v>2005</v>
      </c>
      <c r="F40" s="33">
        <v>1</v>
      </c>
      <c r="G40" s="34">
        <v>2006</v>
      </c>
      <c r="I40" s="31">
        <f t="shared" si="2"/>
        <v>1</v>
      </c>
      <c r="J40" s="31">
        <f t="shared" si="3"/>
        <v>0.30000000000000004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B41" s="25" t="s">
        <v>301</v>
      </c>
      <c r="C41" s="20" t="s">
        <v>49</v>
      </c>
      <c r="D41" s="20" t="s">
        <v>91</v>
      </c>
      <c r="E41" s="26">
        <v>2004</v>
      </c>
      <c r="F41" s="28">
        <v>13.5</v>
      </c>
      <c r="G41" s="32">
        <v>2005</v>
      </c>
      <c r="I41" s="31">
        <f t="shared" si="2"/>
        <v>4.05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25" t="s">
        <v>219</v>
      </c>
      <c r="C42" s="20" t="s">
        <v>52</v>
      </c>
      <c r="D42" s="20" t="s">
        <v>138</v>
      </c>
      <c r="E42" s="26">
        <v>2003</v>
      </c>
      <c r="F42" s="28">
        <v>8.3</v>
      </c>
      <c r="G42" s="32">
        <v>2005</v>
      </c>
      <c r="I42" s="31">
        <f t="shared" si="2"/>
        <v>2.5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B43" s="25" t="s">
        <v>302</v>
      </c>
      <c r="C43" s="20" t="s">
        <v>49</v>
      </c>
      <c r="D43" s="20" t="s">
        <v>95</v>
      </c>
      <c r="E43" s="26">
        <v>2003</v>
      </c>
      <c r="F43" s="28">
        <v>3.4</v>
      </c>
      <c r="G43" s="32">
        <v>2005</v>
      </c>
      <c r="I43" s="31">
        <f t="shared" si="2"/>
        <v>1.05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B44" s="25" t="s">
        <v>303</v>
      </c>
      <c r="C44" s="20" t="s">
        <v>52</v>
      </c>
      <c r="D44" s="20" t="s">
        <v>73</v>
      </c>
      <c r="E44" s="26">
        <v>2003</v>
      </c>
      <c r="F44" s="28">
        <v>1</v>
      </c>
      <c r="G44" s="32">
        <v>2005</v>
      </c>
      <c r="I44" s="31">
        <f t="shared" si="2"/>
        <v>0.30000000000000004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4">
        <v>9</v>
      </c>
      <c r="B45" s="25" t="s">
        <v>304</v>
      </c>
      <c r="C45" s="20" t="s">
        <v>53</v>
      </c>
      <c r="D45" s="20" t="s">
        <v>100</v>
      </c>
      <c r="E45" s="26">
        <v>2003</v>
      </c>
      <c r="F45" s="28">
        <v>1</v>
      </c>
      <c r="G45" s="32">
        <v>2005</v>
      </c>
      <c r="I45" s="31">
        <f t="shared" si="2"/>
        <v>0.30000000000000004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4">
        <v>10</v>
      </c>
      <c r="B46" s="25" t="s">
        <v>298</v>
      </c>
      <c r="C46" s="20" t="s">
        <v>53</v>
      </c>
      <c r="D46" s="20" t="s">
        <v>80</v>
      </c>
      <c r="E46" s="26">
        <v>2004</v>
      </c>
      <c r="F46" s="28">
        <v>1</v>
      </c>
      <c r="G46" s="32">
        <v>2005</v>
      </c>
      <c r="I46" s="31">
        <f>+CEILING(IF($I$35=E46,F46,IF($I$35&lt;=G46,F46*0.3,0)),0.05)</f>
        <v>0.30000000000000004</v>
      </c>
      <c r="J46" s="31">
        <f>+CEILING(IF($J$35&lt;=G46,F46*0.3,0),0.05)</f>
        <v>0</v>
      </c>
      <c r="K46" s="31">
        <f>+CEILING(IF($K$35&lt;=G46,F46*0.3,0),0.05)</f>
        <v>0</v>
      </c>
      <c r="L46" s="31">
        <f>+CEILING(IF($L$35&lt;=G46,F46*0.3,0),0.05)</f>
        <v>0</v>
      </c>
      <c r="M46" s="31">
        <f>CEILING(IF($M$35&lt;=G46,F46*0.3,0),0.05)</f>
        <v>0</v>
      </c>
    </row>
    <row r="47" spans="1:13" ht="12.75">
      <c r="A47" s="24">
        <v>11</v>
      </c>
      <c r="B47" s="25"/>
      <c r="D47" s="20"/>
      <c r="E47" s="26"/>
      <c r="F47" s="28"/>
      <c r="G47" s="32"/>
      <c r="I47" s="31">
        <f>+CEILING(IF($I$35=E47,F47,IF($I$35&lt;=G47,F47*0.3,0)),0.05)</f>
        <v>0</v>
      </c>
      <c r="J47" s="31">
        <f>+CEILING(IF($J$35&lt;=G47,F47*0.3,0),0.05)</f>
        <v>0</v>
      </c>
      <c r="K47" s="31">
        <f>+CEILING(IF($K$35&lt;=G47,F47*0.3,0),0.05)</f>
        <v>0</v>
      </c>
      <c r="L47" s="31">
        <f>+CEILING(IF($L$35&lt;=G47,F47*0.3,0),0.05)</f>
        <v>0</v>
      </c>
      <c r="M47" s="31">
        <f>CEILING(IF($M$35&lt;=G47,F47*0.3,0),0.05)</f>
        <v>0</v>
      </c>
    </row>
    <row r="48" spans="1:13" ht="12.75">
      <c r="A48" s="24">
        <v>12</v>
      </c>
      <c r="B48" s="25"/>
      <c r="D48" s="20"/>
      <c r="E48" s="26"/>
      <c r="F48" s="28"/>
      <c r="G48" s="32"/>
      <c r="I48" s="31">
        <f>+CEILING(IF($I$35=E48,F48,IF($I$35&lt;=G48,F48*0.3,0)),0.05)</f>
        <v>0</v>
      </c>
      <c r="J48" s="31">
        <f>+CEILING(IF($J$35&lt;=G48,F48*0.3,0),0.05)</f>
        <v>0</v>
      </c>
      <c r="K48" s="31">
        <f>+CEILING(IF($K$35&lt;=G48,F48*0.3,0),0.05)</f>
        <v>0</v>
      </c>
      <c r="L48" s="31">
        <f>+CEILING(IF($L$35&lt;=G48,F48*0.3,0),0.05)</f>
        <v>0</v>
      </c>
      <c r="M48" s="31">
        <f>CEILING(IF($M$35&lt;=G48,F48*0.3,0),0.05)</f>
        <v>0</v>
      </c>
    </row>
    <row r="49" spans="1:13" ht="12.75">
      <c r="A49" s="24">
        <v>13</v>
      </c>
      <c r="B49" s="25"/>
      <c r="D49" s="20"/>
      <c r="E49" s="26"/>
      <c r="F49" s="28"/>
      <c r="G49" s="32"/>
      <c r="I49" s="31">
        <f>+CEILING(IF($I$35=E49,F49,IF($I$35&lt;=G49,F49*0.3,0)),0.05)</f>
        <v>0</v>
      </c>
      <c r="J49" s="31">
        <f>+CEILING(IF($J$35&lt;=G49,F49*0.3,0),0.05)</f>
        <v>0</v>
      </c>
      <c r="K49" s="31">
        <f>+CEILING(IF($K$35&lt;=G49,F49*0.3,0),0.05)</f>
        <v>0</v>
      </c>
      <c r="L49" s="31">
        <f>+CEILING(IF($L$35&lt;=G49,F49*0.3,0),0.05)</f>
        <v>0</v>
      </c>
      <c r="M49" s="31">
        <f>CEILING(IF($M$35&lt;=G49,F49*0.3,0),0.05)</f>
        <v>0</v>
      </c>
    </row>
    <row r="50" spans="1:13" ht="12.75">
      <c r="A50" s="24">
        <v>14</v>
      </c>
      <c r="B50" s="25"/>
      <c r="D50" s="20"/>
      <c r="E50" s="26"/>
      <c r="F50" s="28"/>
      <c r="G50" s="32"/>
      <c r="I50" s="31">
        <f>+CEILING(IF($I$35=E50,F50,IF($I$35&lt;=G50,F50*0.3,0)),0.05)</f>
        <v>0</v>
      </c>
      <c r="J50" s="31">
        <f>+CEILING(IF($J$35&lt;=G50,F50*0.3,0),0.05)</f>
        <v>0</v>
      </c>
      <c r="K50" s="31">
        <f>+CEILING(IF($K$35&lt;=G50,F50*0.3,0),0.05)</f>
        <v>0</v>
      </c>
      <c r="L50" s="31">
        <f>+CEILING(IF($L$35&lt;=G50,F50*0.3,0),0.05)</f>
        <v>0</v>
      </c>
      <c r="M50" s="31">
        <f>CEILING(IF($M$35&lt;=G50,F50*0.3,0),0.05)</f>
        <v>0</v>
      </c>
    </row>
    <row r="51" spans="1:13" ht="12.75">
      <c r="A51" s="24">
        <v>15</v>
      </c>
      <c r="B51" s="25"/>
      <c r="D51" s="20"/>
      <c r="E51" s="26"/>
      <c r="F51" s="28"/>
      <c r="G51" s="32"/>
      <c r="I51" s="31">
        <f t="shared" si="2"/>
        <v>0</v>
      </c>
      <c r="J51" s="31">
        <f t="shared" si="3"/>
        <v>0</v>
      </c>
      <c r="K51" s="31">
        <f t="shared" si="4"/>
        <v>0</v>
      </c>
      <c r="L51" s="31">
        <f t="shared" si="5"/>
        <v>0</v>
      </c>
      <c r="M51" s="31">
        <f t="shared" si="6"/>
        <v>0</v>
      </c>
    </row>
    <row r="52" spans="9:13" ht="7.5" customHeight="1">
      <c r="I52" s="25"/>
      <c r="J52" s="25"/>
      <c r="K52" s="25"/>
      <c r="L52" s="25"/>
      <c r="M52" s="25"/>
    </row>
    <row r="53" spans="9:13" ht="12.75">
      <c r="I53" s="36">
        <f>+SUM(I37:I52)</f>
        <v>10.500000000000004</v>
      </c>
      <c r="J53" s="36">
        <f>+SUM(J37:J52)</f>
        <v>1.3</v>
      </c>
      <c r="K53" s="36">
        <f>+SUM(K37:K52)</f>
        <v>0</v>
      </c>
      <c r="L53" s="36">
        <f>+SUM(L37:L52)</f>
        <v>0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50" t="s">
        <v>87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9:13" ht="7.5" customHeight="1">
      <c r="I56" s="37"/>
      <c r="J56" s="37"/>
      <c r="K56" s="37"/>
      <c r="L56" s="37"/>
      <c r="M56" s="37"/>
    </row>
    <row r="57" spans="1:13" ht="12.75">
      <c r="A57" s="24"/>
      <c r="B57" s="21" t="s">
        <v>88</v>
      </c>
      <c r="C57" s="22"/>
      <c r="D57" s="22"/>
      <c r="E57" s="22"/>
      <c r="F57" s="22" t="s">
        <v>89</v>
      </c>
      <c r="G57" s="22" t="s">
        <v>27</v>
      </c>
      <c r="I57" s="23">
        <f>+I$3</f>
        <v>2005</v>
      </c>
      <c r="J57" s="23">
        <f>+J$3</f>
        <v>2006</v>
      </c>
      <c r="K57" s="23">
        <f>+K$3</f>
        <v>2007</v>
      </c>
      <c r="L57" s="23">
        <f>+L$3</f>
        <v>2008</v>
      </c>
      <c r="M57" s="23">
        <f>+M$3</f>
        <v>2009</v>
      </c>
    </row>
    <row r="58" spans="1:13" ht="7.5" customHeight="1">
      <c r="A58" s="24"/>
      <c r="I58" s="38"/>
      <c r="J58" s="38"/>
      <c r="K58" s="38"/>
      <c r="L58" s="38"/>
      <c r="M58" s="38"/>
    </row>
    <row r="59" spans="1:13" ht="12.75">
      <c r="A59" s="24">
        <v>1</v>
      </c>
      <c r="B59" s="48"/>
      <c r="C59" s="48"/>
      <c r="D59" s="48"/>
      <c r="E59" s="48"/>
      <c r="I59" s="38"/>
      <c r="J59" s="38"/>
      <c r="K59" s="38"/>
      <c r="L59" s="38"/>
      <c r="M59" s="38"/>
    </row>
    <row r="60" spans="1:13" ht="12.75">
      <c r="A60" s="24">
        <v>2</v>
      </c>
      <c r="B60" s="48"/>
      <c r="C60" s="48"/>
      <c r="D60" s="48"/>
      <c r="E60" s="48"/>
      <c r="I60" s="38"/>
      <c r="J60" s="38"/>
      <c r="K60" s="38"/>
      <c r="L60" s="38"/>
      <c r="M60" s="38"/>
    </row>
    <row r="61" spans="1:13" ht="7.5" customHeight="1">
      <c r="A61" s="24"/>
      <c r="I61" s="38"/>
      <c r="J61" s="38"/>
      <c r="K61" s="38"/>
      <c r="L61" s="38"/>
      <c r="M61" s="38"/>
    </row>
    <row r="62" spans="1:13" ht="12.75">
      <c r="A62" s="24"/>
      <c r="I62" s="35">
        <f>+SUM(I59:I61)</f>
        <v>0</v>
      </c>
      <c r="J62" s="35">
        <f>+SUM(J59:J61)</f>
        <v>0</v>
      </c>
      <c r="K62" s="35">
        <f>+SUM(K59:K61)</f>
        <v>0</v>
      </c>
      <c r="L62" s="35">
        <f>+SUM(L59:L61)</f>
        <v>0</v>
      </c>
      <c r="M62" s="35">
        <f>+SUM(M59:M61)</f>
        <v>0</v>
      </c>
    </row>
  </sheetData>
  <sheetProtection/>
  <mergeCells count="5">
    <mergeCell ref="B59:E59"/>
    <mergeCell ref="B60:E60"/>
    <mergeCell ref="A1:M1"/>
    <mergeCell ref="A33:M33"/>
    <mergeCell ref="A55:M5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25" t="s">
        <v>432</v>
      </c>
      <c r="C5" s="20" t="s">
        <v>50</v>
      </c>
      <c r="D5" s="20" t="s">
        <v>106</v>
      </c>
      <c r="E5" s="20" t="s">
        <v>64</v>
      </c>
      <c r="F5" s="28">
        <v>1.85</v>
      </c>
      <c r="G5" s="32">
        <v>2009</v>
      </c>
      <c r="I5" s="31">
        <f aca="true" t="shared" si="0" ref="I5:M14">+IF($G5&gt;=I$3,$F5,0)</f>
        <v>1.85</v>
      </c>
      <c r="J5" s="31">
        <f t="shared" si="0"/>
        <v>1.85</v>
      </c>
      <c r="K5" s="31">
        <f t="shared" si="0"/>
        <v>1.85</v>
      </c>
      <c r="L5" s="31">
        <f t="shared" si="0"/>
        <v>1.85</v>
      </c>
      <c r="M5" s="31">
        <f t="shared" si="0"/>
        <v>1.85</v>
      </c>
    </row>
    <row r="6" spans="1:13" ht="12.75">
      <c r="A6" s="24">
        <v>2</v>
      </c>
      <c r="B6" s="25" t="s">
        <v>433</v>
      </c>
      <c r="C6" s="20" t="s">
        <v>49</v>
      </c>
      <c r="D6" s="20" t="s">
        <v>128</v>
      </c>
      <c r="E6" s="20" t="s">
        <v>64</v>
      </c>
      <c r="F6" s="28">
        <v>1.25</v>
      </c>
      <c r="G6" s="32">
        <v>2009</v>
      </c>
      <c r="I6" s="31">
        <f t="shared" si="0"/>
        <v>1.25</v>
      </c>
      <c r="J6" s="31">
        <f t="shared" si="0"/>
        <v>1.25</v>
      </c>
      <c r="K6" s="31">
        <f t="shared" si="0"/>
        <v>1.25</v>
      </c>
      <c r="L6" s="31">
        <f t="shared" si="0"/>
        <v>1.25</v>
      </c>
      <c r="M6" s="31">
        <f t="shared" si="0"/>
        <v>1.25</v>
      </c>
    </row>
    <row r="7" spans="1:13" ht="12.75">
      <c r="A7" s="24">
        <v>3</v>
      </c>
      <c r="B7" s="19" t="s">
        <v>575</v>
      </c>
      <c r="C7" s="20" t="s">
        <v>49</v>
      </c>
      <c r="D7" s="20" t="s">
        <v>156</v>
      </c>
      <c r="E7" s="20" t="s">
        <v>64</v>
      </c>
      <c r="F7" s="28">
        <v>1.25</v>
      </c>
      <c r="G7" s="32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1.25</v>
      </c>
    </row>
    <row r="8" spans="1:13" ht="12.75">
      <c r="A8" s="24">
        <v>4</v>
      </c>
      <c r="B8" s="19" t="s">
        <v>314</v>
      </c>
      <c r="C8" s="20" t="s">
        <v>49</v>
      </c>
      <c r="D8" s="20" t="s">
        <v>95</v>
      </c>
      <c r="E8" s="20" t="s">
        <v>64</v>
      </c>
      <c r="F8" s="33">
        <v>1.4</v>
      </c>
      <c r="G8" s="34">
        <v>2008</v>
      </c>
      <c r="I8" s="31">
        <f t="shared" si="0"/>
        <v>1.4</v>
      </c>
      <c r="J8" s="31">
        <f t="shared" si="0"/>
        <v>1.4</v>
      </c>
      <c r="K8" s="31">
        <f t="shared" si="0"/>
        <v>1.4</v>
      </c>
      <c r="L8" s="31">
        <f t="shared" si="0"/>
        <v>1.4</v>
      </c>
      <c r="M8" s="31">
        <f t="shared" si="0"/>
        <v>0</v>
      </c>
    </row>
    <row r="9" spans="1:13" ht="12.75">
      <c r="A9" s="24">
        <v>5</v>
      </c>
      <c r="B9" s="25" t="s">
        <v>305</v>
      </c>
      <c r="C9" s="20" t="s">
        <v>48</v>
      </c>
      <c r="D9" s="20" t="s">
        <v>150</v>
      </c>
      <c r="E9" s="26" t="s">
        <v>64</v>
      </c>
      <c r="F9" s="28">
        <v>9</v>
      </c>
      <c r="G9" s="30">
        <v>2007</v>
      </c>
      <c r="I9" s="31">
        <f t="shared" si="0"/>
        <v>9</v>
      </c>
      <c r="J9" s="31">
        <f t="shared" si="0"/>
        <v>9</v>
      </c>
      <c r="K9" s="31">
        <f t="shared" si="0"/>
        <v>9</v>
      </c>
      <c r="L9" s="31">
        <f t="shared" si="0"/>
        <v>0</v>
      </c>
      <c r="M9" s="31">
        <f t="shared" si="0"/>
        <v>0</v>
      </c>
    </row>
    <row r="10" spans="1:13" ht="12.75">
      <c r="A10" s="24">
        <v>6</v>
      </c>
      <c r="B10" s="19" t="s">
        <v>318</v>
      </c>
      <c r="C10" s="20" t="s">
        <v>52</v>
      </c>
      <c r="D10" s="20" t="s">
        <v>82</v>
      </c>
      <c r="E10" s="26" t="s">
        <v>64</v>
      </c>
      <c r="F10" s="33">
        <v>4.75</v>
      </c>
      <c r="G10" s="34">
        <v>2007</v>
      </c>
      <c r="I10" s="31">
        <f t="shared" si="0"/>
        <v>4.75</v>
      </c>
      <c r="J10" s="31">
        <f t="shared" si="0"/>
        <v>4.75</v>
      </c>
      <c r="K10" s="31">
        <f t="shared" si="0"/>
        <v>4.75</v>
      </c>
      <c r="L10" s="31">
        <f t="shared" si="0"/>
        <v>0</v>
      </c>
      <c r="M10" s="31">
        <f t="shared" si="0"/>
        <v>0</v>
      </c>
    </row>
    <row r="11" spans="1:13" ht="12.75">
      <c r="A11" s="24">
        <v>7</v>
      </c>
      <c r="B11" s="19" t="s">
        <v>306</v>
      </c>
      <c r="C11" s="20" t="s">
        <v>48</v>
      </c>
      <c r="D11" s="20" t="s">
        <v>138</v>
      </c>
      <c r="E11" s="20" t="s">
        <v>64</v>
      </c>
      <c r="F11" s="33">
        <v>3.55</v>
      </c>
      <c r="G11" s="34">
        <v>2007</v>
      </c>
      <c r="I11" s="31">
        <f t="shared" si="0"/>
        <v>3.55</v>
      </c>
      <c r="J11" s="31">
        <f t="shared" si="0"/>
        <v>3.55</v>
      </c>
      <c r="K11" s="31">
        <f t="shared" si="0"/>
        <v>3.55</v>
      </c>
      <c r="L11" s="31">
        <f t="shared" si="0"/>
        <v>0</v>
      </c>
      <c r="M11" s="31">
        <f t="shared" si="0"/>
        <v>0</v>
      </c>
    </row>
    <row r="12" spans="1:13" ht="12.75">
      <c r="A12" s="24">
        <v>8</v>
      </c>
      <c r="B12" s="19" t="s">
        <v>514</v>
      </c>
      <c r="C12" s="20" t="s">
        <v>49</v>
      </c>
      <c r="D12" s="20" t="s">
        <v>146</v>
      </c>
      <c r="E12" s="20" t="s">
        <v>64</v>
      </c>
      <c r="F12" s="33">
        <v>2.5</v>
      </c>
      <c r="G12" s="34">
        <v>2007</v>
      </c>
      <c r="I12" s="31">
        <f t="shared" si="0"/>
        <v>2.5</v>
      </c>
      <c r="J12" s="31">
        <f t="shared" si="0"/>
        <v>2.5</v>
      </c>
      <c r="K12" s="31">
        <f t="shared" si="0"/>
        <v>2.5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25" t="s">
        <v>307</v>
      </c>
      <c r="C13" s="20" t="s">
        <v>53</v>
      </c>
      <c r="D13" s="20" t="s">
        <v>153</v>
      </c>
      <c r="E13" s="26" t="s">
        <v>64</v>
      </c>
      <c r="F13" s="28">
        <v>2.35</v>
      </c>
      <c r="G13" s="32">
        <v>2007</v>
      </c>
      <c r="I13" s="31">
        <f t="shared" si="0"/>
        <v>2.35</v>
      </c>
      <c r="J13" s="31">
        <f t="shared" si="0"/>
        <v>2.35</v>
      </c>
      <c r="K13" s="31">
        <f t="shared" si="0"/>
        <v>2.35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25" t="s">
        <v>308</v>
      </c>
      <c r="C14" s="20" t="s">
        <v>53</v>
      </c>
      <c r="D14" s="20" t="s">
        <v>106</v>
      </c>
      <c r="E14" s="26" t="s">
        <v>64</v>
      </c>
      <c r="F14" s="28">
        <v>1</v>
      </c>
      <c r="G14" s="32">
        <v>2007</v>
      </c>
      <c r="I14" s="31">
        <f t="shared" si="0"/>
        <v>1</v>
      </c>
      <c r="J14" s="31">
        <f t="shared" si="0"/>
        <v>1</v>
      </c>
      <c r="K14" s="31">
        <f t="shared" si="0"/>
        <v>1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19" t="s">
        <v>503</v>
      </c>
      <c r="C15" s="20" t="s">
        <v>49</v>
      </c>
      <c r="D15" s="20" t="s">
        <v>70</v>
      </c>
      <c r="E15" s="20" t="s">
        <v>64</v>
      </c>
      <c r="F15" s="28">
        <v>16.05</v>
      </c>
      <c r="G15" s="32">
        <v>2006</v>
      </c>
      <c r="I15" s="31">
        <f aca="true" t="shared" si="1" ref="I15:M29">+IF($G15&gt;=I$3,$F15,0)</f>
        <v>16.05</v>
      </c>
      <c r="J15" s="31">
        <f t="shared" si="1"/>
        <v>16.05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19" t="s">
        <v>359</v>
      </c>
      <c r="C16" s="20" t="s">
        <v>52</v>
      </c>
      <c r="D16" s="20" t="s">
        <v>106</v>
      </c>
      <c r="E16" s="26" t="s">
        <v>64</v>
      </c>
      <c r="F16" s="28">
        <v>2.3</v>
      </c>
      <c r="G16" s="32">
        <v>2006</v>
      </c>
      <c r="I16" s="31">
        <f t="shared" si="1"/>
        <v>2.3</v>
      </c>
      <c r="J16" s="31">
        <f t="shared" si="1"/>
        <v>2.3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19" t="s">
        <v>380</v>
      </c>
      <c r="C17" s="20" t="s">
        <v>51</v>
      </c>
      <c r="D17" s="20" t="s">
        <v>223</v>
      </c>
      <c r="E17" s="26" t="s">
        <v>64</v>
      </c>
      <c r="F17" s="33">
        <v>1.1</v>
      </c>
      <c r="G17" s="34">
        <v>2006</v>
      </c>
      <c r="I17" s="31">
        <f t="shared" si="1"/>
        <v>1.1</v>
      </c>
      <c r="J17" s="31">
        <f t="shared" si="1"/>
        <v>1.1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471</v>
      </c>
      <c r="C18" s="20" t="s">
        <v>47</v>
      </c>
      <c r="D18" s="20" t="s">
        <v>80</v>
      </c>
      <c r="E18" s="20" t="s">
        <v>64</v>
      </c>
      <c r="F18" s="28">
        <v>7.3</v>
      </c>
      <c r="G18" s="32">
        <v>2005</v>
      </c>
      <c r="I18" s="31">
        <f t="shared" si="1"/>
        <v>7.3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19" t="s">
        <v>159</v>
      </c>
      <c r="C19" s="20" t="s">
        <v>49</v>
      </c>
      <c r="D19" s="20" t="s">
        <v>78</v>
      </c>
      <c r="E19" s="20" t="s">
        <v>64</v>
      </c>
      <c r="F19" s="33">
        <v>5.5</v>
      </c>
      <c r="G19" s="34">
        <v>2005</v>
      </c>
      <c r="I19" s="31">
        <f t="shared" si="1"/>
        <v>5.5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312</v>
      </c>
      <c r="C20" s="20" t="s">
        <v>52</v>
      </c>
      <c r="D20" s="20" t="s">
        <v>73</v>
      </c>
      <c r="E20" s="26" t="s">
        <v>64</v>
      </c>
      <c r="F20" s="28">
        <v>2.45</v>
      </c>
      <c r="G20" s="32">
        <v>2005</v>
      </c>
      <c r="I20" s="31">
        <f t="shared" si="1"/>
        <v>2.45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19" t="s">
        <v>316</v>
      </c>
      <c r="C21" s="20" t="s">
        <v>53</v>
      </c>
      <c r="D21" s="20" t="s">
        <v>113</v>
      </c>
      <c r="E21" s="26" t="s">
        <v>64</v>
      </c>
      <c r="F21" s="28">
        <v>2</v>
      </c>
      <c r="G21" s="32">
        <v>2005</v>
      </c>
      <c r="I21" s="31">
        <f t="shared" si="1"/>
        <v>2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19" t="s">
        <v>574</v>
      </c>
      <c r="C22" s="20" t="s">
        <v>52</v>
      </c>
      <c r="D22" s="20" t="s">
        <v>113</v>
      </c>
      <c r="E22" s="20" t="s">
        <v>64</v>
      </c>
      <c r="F22" s="28">
        <v>1.5</v>
      </c>
      <c r="G22" s="32">
        <v>2005</v>
      </c>
      <c r="I22" s="31">
        <f t="shared" si="1"/>
        <v>1.5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25" t="s">
        <v>678</v>
      </c>
      <c r="C23" s="20" t="s">
        <v>52</v>
      </c>
      <c r="D23" s="20" t="s">
        <v>63</v>
      </c>
      <c r="E23" s="26" t="s">
        <v>64</v>
      </c>
      <c r="F23" s="28">
        <v>1.25</v>
      </c>
      <c r="G23" s="32">
        <v>2005</v>
      </c>
      <c r="I23" s="31">
        <f t="shared" si="1"/>
        <v>1.25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25" t="s">
        <v>709</v>
      </c>
      <c r="C24" s="20" t="s">
        <v>47</v>
      </c>
      <c r="D24" s="20" t="s">
        <v>80</v>
      </c>
      <c r="E24" s="26" t="s">
        <v>64</v>
      </c>
      <c r="F24" s="28">
        <v>1.25</v>
      </c>
      <c r="G24" s="32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19" t="s">
        <v>641</v>
      </c>
      <c r="C25" s="20" t="s">
        <v>48</v>
      </c>
      <c r="D25" s="20" t="s">
        <v>93</v>
      </c>
      <c r="E25" s="26" t="s">
        <v>64</v>
      </c>
      <c r="F25" s="33">
        <v>1.25</v>
      </c>
      <c r="G25" s="34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25" t="s">
        <v>622</v>
      </c>
      <c r="C26" s="20" t="s">
        <v>47</v>
      </c>
      <c r="D26" s="20" t="s">
        <v>70</v>
      </c>
      <c r="E26" s="26" t="s">
        <v>64</v>
      </c>
      <c r="F26" s="28">
        <v>1.25</v>
      </c>
      <c r="G26" s="32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25" t="s">
        <v>648</v>
      </c>
      <c r="C27" s="20" t="s">
        <v>48</v>
      </c>
      <c r="D27" s="20" t="s">
        <v>138</v>
      </c>
      <c r="E27" s="26" t="s">
        <v>64</v>
      </c>
      <c r="F27" s="28">
        <v>1.25</v>
      </c>
      <c r="G27" s="32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680</v>
      </c>
      <c r="C28" s="20" t="s">
        <v>48</v>
      </c>
      <c r="D28" s="20" t="s">
        <v>93</v>
      </c>
      <c r="E28" s="20" t="s">
        <v>64</v>
      </c>
      <c r="F28" s="33">
        <v>1.25</v>
      </c>
      <c r="G28" s="34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19" t="s">
        <v>616</v>
      </c>
      <c r="C29" s="20" t="s">
        <v>51</v>
      </c>
      <c r="D29" s="20" t="s">
        <v>128</v>
      </c>
      <c r="E29" s="26" t="s">
        <v>64</v>
      </c>
      <c r="F29" s="28">
        <v>1.25</v>
      </c>
      <c r="G29" s="32">
        <v>2005</v>
      </c>
      <c r="I29" s="31">
        <f t="shared" si="1"/>
        <v>1.25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9:13" ht="12.75">
      <c r="I31" s="36">
        <f>+SUM(I5:I29)</f>
        <v>75.85</v>
      </c>
      <c r="J31" s="36">
        <f>+SUM(J5:J29)</f>
        <v>48.35</v>
      </c>
      <c r="K31" s="36">
        <f>+SUM(K5:K29)</f>
        <v>28.900000000000002</v>
      </c>
      <c r="L31" s="36">
        <f>+SUM(L5:L29)</f>
        <v>5.75</v>
      </c>
      <c r="M31" s="36">
        <f>+SUM(M5:M29)</f>
        <v>4.35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19" t="s">
        <v>317</v>
      </c>
      <c r="C37" s="20" t="s">
        <v>47</v>
      </c>
      <c r="D37" s="20" t="s">
        <v>169</v>
      </c>
      <c r="E37" s="26">
        <v>2005</v>
      </c>
      <c r="F37" s="33">
        <v>20.2</v>
      </c>
      <c r="G37" s="34">
        <v>2008</v>
      </c>
      <c r="I37" s="31">
        <f aca="true" t="shared" si="2" ref="I37:I46">+CEILING(IF($I$35=E37,F37,IF($I$35&lt;=G37,F37*0.3,0)),0.05)</f>
        <v>20.200000000000003</v>
      </c>
      <c r="J37" s="31">
        <f aca="true" t="shared" si="3" ref="J37:J46">+CEILING(IF($J$35&lt;=G37,F37*0.3,0),0.05)</f>
        <v>6.1000000000000005</v>
      </c>
      <c r="K37" s="31">
        <f aca="true" t="shared" si="4" ref="K37:K46">+CEILING(IF($K$35&lt;=G37,F37*0.3,0),0.05)</f>
        <v>6.1000000000000005</v>
      </c>
      <c r="L37" s="31">
        <f aca="true" t="shared" si="5" ref="L37:L46">+CEILING(IF($L$35&lt;=G37,F37*0.3,0),0.05)</f>
        <v>6.1000000000000005</v>
      </c>
      <c r="M37" s="31">
        <f aca="true" t="shared" si="6" ref="M37:M46">CEILING(IF($M$35&lt;=G37,F37*0.3,0),0.05)</f>
        <v>0</v>
      </c>
    </row>
    <row r="38" spans="1:13" ht="12.75">
      <c r="A38" s="24">
        <v>2</v>
      </c>
      <c r="B38" s="25" t="s">
        <v>315</v>
      </c>
      <c r="C38" s="20" t="s">
        <v>52</v>
      </c>
      <c r="D38" s="20" t="s">
        <v>84</v>
      </c>
      <c r="E38" s="26">
        <v>2005</v>
      </c>
      <c r="F38" s="28">
        <v>1.1</v>
      </c>
      <c r="G38" s="32">
        <v>2008</v>
      </c>
      <c r="I38" s="31">
        <f t="shared" si="2"/>
        <v>1.1</v>
      </c>
      <c r="J38" s="31">
        <f t="shared" si="3"/>
        <v>0.35000000000000003</v>
      </c>
      <c r="K38" s="31">
        <f t="shared" si="4"/>
        <v>0.35000000000000003</v>
      </c>
      <c r="L38" s="31">
        <f t="shared" si="5"/>
        <v>0.35000000000000003</v>
      </c>
      <c r="M38" s="31">
        <f t="shared" si="6"/>
        <v>0</v>
      </c>
    </row>
    <row r="39" spans="1:13" ht="12.75">
      <c r="A39" s="24">
        <v>3</v>
      </c>
      <c r="B39" s="25" t="s">
        <v>319</v>
      </c>
      <c r="C39" s="20" t="s">
        <v>47</v>
      </c>
      <c r="D39" s="20" t="s">
        <v>76</v>
      </c>
      <c r="E39" s="26">
        <v>2003</v>
      </c>
      <c r="F39" s="28">
        <v>12.2</v>
      </c>
      <c r="G39" s="32">
        <v>2006</v>
      </c>
      <c r="I39" s="31">
        <f t="shared" si="2"/>
        <v>3.7</v>
      </c>
      <c r="J39" s="31">
        <f t="shared" si="3"/>
        <v>3.7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B40" s="25" t="s">
        <v>309</v>
      </c>
      <c r="C40" s="20" t="s">
        <v>48</v>
      </c>
      <c r="D40" s="20" t="s">
        <v>93</v>
      </c>
      <c r="E40" s="26">
        <v>2005</v>
      </c>
      <c r="F40" s="28">
        <v>23.2</v>
      </c>
      <c r="G40" s="32">
        <v>2005</v>
      </c>
      <c r="I40" s="31">
        <f t="shared" si="2"/>
        <v>23.200000000000003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B41" s="25" t="s">
        <v>310</v>
      </c>
      <c r="C41" s="20" t="s">
        <v>49</v>
      </c>
      <c r="D41" s="20" t="s">
        <v>100</v>
      </c>
      <c r="E41" s="26">
        <v>2005</v>
      </c>
      <c r="F41" s="28">
        <v>4.5</v>
      </c>
      <c r="G41" s="32">
        <v>2005</v>
      </c>
      <c r="I41" s="31">
        <f t="shared" si="2"/>
        <v>4.5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25" t="s">
        <v>311</v>
      </c>
      <c r="C42" s="20" t="s">
        <v>48</v>
      </c>
      <c r="D42" s="20" t="s">
        <v>93</v>
      </c>
      <c r="E42" s="26">
        <v>2005</v>
      </c>
      <c r="F42" s="28">
        <v>3.7</v>
      </c>
      <c r="G42" s="32">
        <v>2005</v>
      </c>
      <c r="I42" s="31">
        <f t="shared" si="2"/>
        <v>3.7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B43" s="19" t="s">
        <v>320</v>
      </c>
      <c r="C43" s="20" t="s">
        <v>52</v>
      </c>
      <c r="D43" s="20" t="s">
        <v>76</v>
      </c>
      <c r="E43" s="20">
        <v>2003</v>
      </c>
      <c r="F43" s="33">
        <v>1.8</v>
      </c>
      <c r="G43" s="34">
        <v>2005</v>
      </c>
      <c r="I43" s="31">
        <f t="shared" si="2"/>
        <v>0.55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B44" s="19" t="s">
        <v>313</v>
      </c>
      <c r="C44" s="20" t="s">
        <v>52</v>
      </c>
      <c r="D44" s="20" t="s">
        <v>73</v>
      </c>
      <c r="E44" s="20">
        <v>2005</v>
      </c>
      <c r="F44" s="33">
        <v>1.4</v>
      </c>
      <c r="G44" s="34">
        <v>2005</v>
      </c>
      <c r="I44" s="31">
        <f>+CEILING(IF($I$35=E44,F44,IF($I$35&lt;=G44,F44*0.3,0)),0.05)</f>
        <v>1.4000000000000001</v>
      </c>
      <c r="J44" s="31">
        <f>+CEILING(IF($J$35&lt;=G44,F44*0.3,0),0.05)</f>
        <v>0</v>
      </c>
      <c r="K44" s="31">
        <f>+CEILING(IF($K$35&lt;=G44,F44*0.3,0),0.05)</f>
        <v>0</v>
      </c>
      <c r="L44" s="31">
        <f>+CEILING(IF($L$35&lt;=G44,F44*0.3,0),0.05)</f>
        <v>0</v>
      </c>
      <c r="M44" s="31">
        <f>CEILING(IF($M$35&lt;=G44,F44*0.3,0),0.05)</f>
        <v>0</v>
      </c>
    </row>
    <row r="45" spans="1:13" ht="12.75">
      <c r="A45" s="24">
        <v>9</v>
      </c>
      <c r="B45" s="19" t="s">
        <v>649</v>
      </c>
      <c r="C45" s="20" t="s">
        <v>50</v>
      </c>
      <c r="D45" s="20" t="s">
        <v>84</v>
      </c>
      <c r="E45" s="20">
        <v>2005</v>
      </c>
      <c r="F45" s="33">
        <v>1.25</v>
      </c>
      <c r="G45" s="34">
        <v>2005</v>
      </c>
      <c r="I45" s="31">
        <f>+CEILING(IF($I$35=E45,F45,IF($I$35&lt;=G45,F45*0.3,0)),0.05)</f>
        <v>1.25</v>
      </c>
      <c r="J45" s="31">
        <f>+CEILING(IF($J$35&lt;=G45,F45*0.3,0),0.05)</f>
        <v>0</v>
      </c>
      <c r="K45" s="31">
        <f>+CEILING(IF($K$35&lt;=G45,F45*0.3,0),0.05)</f>
        <v>0</v>
      </c>
      <c r="L45" s="31">
        <f>+CEILING(IF($L$35&lt;=G45,F45*0.3,0),0.05)</f>
        <v>0</v>
      </c>
      <c r="M45" s="31">
        <f>CEILING(IF($M$35&lt;=G45,F45*0.3,0),0.05)</f>
        <v>0</v>
      </c>
    </row>
    <row r="46" spans="1:13" ht="12.75">
      <c r="A46" s="24">
        <v>10</v>
      </c>
      <c r="B46" s="25" t="s">
        <v>672</v>
      </c>
      <c r="C46" s="20" t="s">
        <v>47</v>
      </c>
      <c r="D46" s="20" t="s">
        <v>169</v>
      </c>
      <c r="E46" s="26">
        <v>2005</v>
      </c>
      <c r="F46" s="28">
        <v>1.25</v>
      </c>
      <c r="G46" s="32">
        <v>2005</v>
      </c>
      <c r="I46" s="31">
        <f t="shared" si="2"/>
        <v>1.25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5"/>
      <c r="J47" s="25"/>
      <c r="K47" s="25"/>
      <c r="L47" s="25"/>
      <c r="M47" s="25"/>
    </row>
    <row r="48" spans="9:13" ht="12.75">
      <c r="I48" s="36">
        <f>+SUM(I37:I47)</f>
        <v>60.85</v>
      </c>
      <c r="J48" s="36">
        <f>+SUM(J37:J47)</f>
        <v>10.15</v>
      </c>
      <c r="K48" s="36">
        <f>+SUM(K37:K47)</f>
        <v>6.45</v>
      </c>
      <c r="L48" s="36">
        <f>+SUM(L37:L47)</f>
        <v>6.45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0" t="s">
        <v>87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9:13" ht="7.5" customHeight="1">
      <c r="I51" s="37"/>
      <c r="J51" s="37"/>
      <c r="K51" s="37"/>
      <c r="L51" s="37"/>
      <c r="M51" s="37"/>
    </row>
    <row r="52" spans="1:13" ht="12.75">
      <c r="A52" s="24"/>
      <c r="B52" s="21" t="s">
        <v>88</v>
      </c>
      <c r="C52" s="22"/>
      <c r="D52" s="22"/>
      <c r="E52" s="22"/>
      <c r="F52" s="22" t="s">
        <v>89</v>
      </c>
      <c r="G52" s="22" t="s">
        <v>27</v>
      </c>
      <c r="I52" s="23">
        <f>+I$3</f>
        <v>2005</v>
      </c>
      <c r="J52" s="23">
        <f>+J$3</f>
        <v>2006</v>
      </c>
      <c r="K52" s="23">
        <f>+K$3</f>
        <v>2007</v>
      </c>
      <c r="L52" s="23">
        <f>+L$3</f>
        <v>2008</v>
      </c>
      <c r="M52" s="23">
        <f>+M$3</f>
        <v>2009</v>
      </c>
    </row>
    <row r="53" spans="1:13" ht="7.5" customHeight="1">
      <c r="A53" s="24"/>
      <c r="I53" s="38"/>
      <c r="J53" s="38"/>
      <c r="K53" s="38"/>
      <c r="L53" s="38"/>
      <c r="M53" s="38"/>
    </row>
    <row r="54" spans="1:13" ht="12.75">
      <c r="A54" s="24">
        <v>1</v>
      </c>
      <c r="B54" s="48"/>
      <c r="C54" s="48"/>
      <c r="D54" s="48"/>
      <c r="E54" s="48"/>
      <c r="I54" s="38"/>
      <c r="J54" s="38"/>
      <c r="K54" s="38"/>
      <c r="L54" s="38"/>
      <c r="M54" s="38"/>
    </row>
    <row r="55" spans="1:13" ht="12.75">
      <c r="A55" s="24">
        <v>2</v>
      </c>
      <c r="B55" s="48"/>
      <c r="C55" s="48"/>
      <c r="D55" s="48"/>
      <c r="E55" s="48"/>
      <c r="I55" s="38"/>
      <c r="J55" s="38"/>
      <c r="K55" s="38"/>
      <c r="L55" s="38"/>
      <c r="M55" s="38"/>
    </row>
    <row r="56" spans="1:13" ht="7.5" customHeight="1">
      <c r="A56" s="24"/>
      <c r="I56" s="38"/>
      <c r="J56" s="38"/>
      <c r="K56" s="38"/>
      <c r="L56" s="38"/>
      <c r="M56" s="38"/>
    </row>
    <row r="57" spans="1:13" ht="12.75">
      <c r="A57" s="24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4:E54"/>
    <mergeCell ref="B55:E55"/>
    <mergeCell ref="A1:M1"/>
    <mergeCell ref="A33:M33"/>
    <mergeCell ref="A50:M50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25" t="s">
        <v>468</v>
      </c>
      <c r="C5" s="20" t="s">
        <v>50</v>
      </c>
      <c r="D5" s="20" t="s">
        <v>70</v>
      </c>
      <c r="E5" s="26" t="s">
        <v>64</v>
      </c>
      <c r="F5" s="28">
        <v>9</v>
      </c>
      <c r="G5" s="32">
        <v>2009</v>
      </c>
      <c r="I5" s="31">
        <f aca="true" t="shared" si="0" ref="I5:M14">+IF($G5&gt;=I$3,$F5,0)</f>
        <v>9</v>
      </c>
      <c r="J5" s="31">
        <f t="shared" si="0"/>
        <v>9</v>
      </c>
      <c r="K5" s="31">
        <f t="shared" si="0"/>
        <v>9</v>
      </c>
      <c r="L5" s="31">
        <f t="shared" si="0"/>
        <v>9</v>
      </c>
      <c r="M5" s="31">
        <f t="shared" si="0"/>
        <v>9</v>
      </c>
    </row>
    <row r="6" spans="1:13" ht="12.75">
      <c r="A6" s="24">
        <v>2</v>
      </c>
      <c r="B6" s="25" t="s">
        <v>434</v>
      </c>
      <c r="C6" s="20" t="s">
        <v>48</v>
      </c>
      <c r="D6" s="20" t="s">
        <v>73</v>
      </c>
      <c r="E6" s="26" t="s">
        <v>64</v>
      </c>
      <c r="F6" s="28">
        <v>1.55</v>
      </c>
      <c r="G6" s="32">
        <v>2009</v>
      </c>
      <c r="I6" s="31">
        <f t="shared" si="0"/>
        <v>1.55</v>
      </c>
      <c r="J6" s="31">
        <f t="shared" si="0"/>
        <v>1.55</v>
      </c>
      <c r="K6" s="31">
        <f t="shared" si="0"/>
        <v>1.55</v>
      </c>
      <c r="L6" s="31">
        <f t="shared" si="0"/>
        <v>1.55</v>
      </c>
      <c r="M6" s="31">
        <f t="shared" si="0"/>
        <v>1.55</v>
      </c>
    </row>
    <row r="7" spans="1:13" ht="12.75">
      <c r="A7" s="24">
        <v>3</v>
      </c>
      <c r="B7" s="25" t="s">
        <v>435</v>
      </c>
      <c r="C7" s="20" t="s">
        <v>53</v>
      </c>
      <c r="D7" s="20" t="s">
        <v>128</v>
      </c>
      <c r="E7" s="26" t="s">
        <v>64</v>
      </c>
      <c r="F7" s="28">
        <v>1.25</v>
      </c>
      <c r="G7" s="32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1.25</v>
      </c>
    </row>
    <row r="8" spans="1:13" ht="12.75">
      <c r="A8" s="24">
        <v>4</v>
      </c>
      <c r="B8" s="19" t="s">
        <v>579</v>
      </c>
      <c r="C8" s="20" t="s">
        <v>52</v>
      </c>
      <c r="D8" s="20" t="s">
        <v>100</v>
      </c>
      <c r="E8" s="20" t="s">
        <v>64</v>
      </c>
      <c r="F8" s="33">
        <v>1.25</v>
      </c>
      <c r="G8" s="34">
        <v>2009</v>
      </c>
      <c r="I8" s="31">
        <f t="shared" si="0"/>
        <v>1.25</v>
      </c>
      <c r="J8" s="31">
        <f t="shared" si="0"/>
        <v>1.25</v>
      </c>
      <c r="K8" s="31">
        <f t="shared" si="0"/>
        <v>1.25</v>
      </c>
      <c r="L8" s="31">
        <f t="shared" si="0"/>
        <v>1.25</v>
      </c>
      <c r="M8" s="31">
        <f t="shared" si="0"/>
        <v>1.25</v>
      </c>
    </row>
    <row r="9" spans="1:13" ht="12.75">
      <c r="A9" s="24">
        <v>5</v>
      </c>
      <c r="B9" s="25" t="s">
        <v>440</v>
      </c>
      <c r="C9" s="20" t="s">
        <v>48</v>
      </c>
      <c r="D9" s="20" t="s">
        <v>113</v>
      </c>
      <c r="E9" s="26" t="s">
        <v>64</v>
      </c>
      <c r="F9" s="28">
        <v>1.25</v>
      </c>
      <c r="G9" s="32">
        <v>2009</v>
      </c>
      <c r="I9" s="31">
        <f t="shared" si="0"/>
        <v>1.25</v>
      </c>
      <c r="J9" s="31">
        <f t="shared" si="0"/>
        <v>1.25</v>
      </c>
      <c r="K9" s="31">
        <f t="shared" si="0"/>
        <v>1.25</v>
      </c>
      <c r="L9" s="31">
        <f t="shared" si="0"/>
        <v>1.25</v>
      </c>
      <c r="M9" s="31">
        <f t="shared" si="0"/>
        <v>1.25</v>
      </c>
    </row>
    <row r="10" spans="1:13" ht="12.75">
      <c r="A10" s="24">
        <v>6</v>
      </c>
      <c r="B10" s="25" t="s">
        <v>333</v>
      </c>
      <c r="C10" s="20" t="s">
        <v>53</v>
      </c>
      <c r="D10" s="20" t="s">
        <v>63</v>
      </c>
      <c r="E10" s="26" t="s">
        <v>64</v>
      </c>
      <c r="F10" s="28">
        <v>1.65</v>
      </c>
      <c r="G10" s="32">
        <v>2008</v>
      </c>
      <c r="I10" s="31">
        <f t="shared" si="0"/>
        <v>1.65</v>
      </c>
      <c r="J10" s="31">
        <f t="shared" si="0"/>
        <v>1.65</v>
      </c>
      <c r="K10" s="31">
        <f t="shared" si="0"/>
        <v>1.65</v>
      </c>
      <c r="L10" s="31">
        <f t="shared" si="0"/>
        <v>1.65</v>
      </c>
      <c r="M10" s="31">
        <f t="shared" si="0"/>
        <v>0</v>
      </c>
    </row>
    <row r="11" spans="1:13" ht="12.75">
      <c r="A11" s="24">
        <v>7</v>
      </c>
      <c r="B11" s="25" t="s">
        <v>334</v>
      </c>
      <c r="C11" s="20" t="s">
        <v>47</v>
      </c>
      <c r="D11" s="20" t="s">
        <v>98</v>
      </c>
      <c r="E11" s="26" t="s">
        <v>64</v>
      </c>
      <c r="F11" s="28">
        <v>1.1</v>
      </c>
      <c r="G11" s="32">
        <v>2008</v>
      </c>
      <c r="I11" s="31">
        <f t="shared" si="0"/>
        <v>1.1</v>
      </c>
      <c r="J11" s="31">
        <f t="shared" si="0"/>
        <v>1.1</v>
      </c>
      <c r="K11" s="31">
        <f t="shared" si="0"/>
        <v>1.1</v>
      </c>
      <c r="L11" s="31">
        <f t="shared" si="0"/>
        <v>1.1</v>
      </c>
      <c r="M11" s="31">
        <f t="shared" si="0"/>
        <v>0</v>
      </c>
    </row>
    <row r="12" spans="1:13" ht="12.75">
      <c r="A12" s="24">
        <v>8</v>
      </c>
      <c r="B12" s="25" t="s">
        <v>321</v>
      </c>
      <c r="C12" s="20" t="s">
        <v>49</v>
      </c>
      <c r="D12" s="20" t="s">
        <v>99</v>
      </c>
      <c r="E12" s="26" t="s">
        <v>64</v>
      </c>
      <c r="F12" s="28">
        <v>12</v>
      </c>
      <c r="G12" s="32">
        <v>2007</v>
      </c>
      <c r="I12" s="31">
        <f t="shared" si="0"/>
        <v>12</v>
      </c>
      <c r="J12" s="31">
        <f t="shared" si="0"/>
        <v>12</v>
      </c>
      <c r="K12" s="31">
        <f t="shared" si="0"/>
        <v>12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19" t="s">
        <v>323</v>
      </c>
      <c r="C13" s="20" t="s">
        <v>49</v>
      </c>
      <c r="D13" s="20" t="s">
        <v>106</v>
      </c>
      <c r="E13" s="20" t="s">
        <v>64</v>
      </c>
      <c r="F13" s="33">
        <v>4.5</v>
      </c>
      <c r="G13" s="34">
        <v>2007</v>
      </c>
      <c r="I13" s="31">
        <f t="shared" si="0"/>
        <v>4.5</v>
      </c>
      <c r="J13" s="31">
        <f t="shared" si="0"/>
        <v>4.5</v>
      </c>
      <c r="K13" s="31">
        <f t="shared" si="0"/>
        <v>4.5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19" t="s">
        <v>326</v>
      </c>
      <c r="C14" s="20" t="s">
        <v>52</v>
      </c>
      <c r="D14" s="20" t="s">
        <v>223</v>
      </c>
      <c r="E14" s="20" t="s">
        <v>64</v>
      </c>
      <c r="F14" s="33">
        <v>1</v>
      </c>
      <c r="G14" s="34">
        <v>2007</v>
      </c>
      <c r="I14" s="31">
        <f t="shared" si="0"/>
        <v>1</v>
      </c>
      <c r="J14" s="31">
        <f t="shared" si="0"/>
        <v>1</v>
      </c>
      <c r="K14" s="31">
        <f t="shared" si="0"/>
        <v>1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25" t="s">
        <v>147</v>
      </c>
      <c r="C15" s="20" t="s">
        <v>49</v>
      </c>
      <c r="D15" s="20" t="s">
        <v>146</v>
      </c>
      <c r="E15" s="26" t="s">
        <v>64</v>
      </c>
      <c r="F15" s="28">
        <v>9.3</v>
      </c>
      <c r="G15" s="32">
        <v>2006</v>
      </c>
      <c r="I15" s="31">
        <f aca="true" t="shared" si="1" ref="I15:M29">+IF($G15&gt;=I$3,$F15,0)</f>
        <v>9.3</v>
      </c>
      <c r="J15" s="31">
        <f t="shared" si="1"/>
        <v>9.3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19" t="s">
        <v>328</v>
      </c>
      <c r="C16" s="20" t="s">
        <v>53</v>
      </c>
      <c r="D16" s="20" t="s">
        <v>80</v>
      </c>
      <c r="E16" s="26" t="s">
        <v>64</v>
      </c>
      <c r="F16" s="28">
        <v>2.05</v>
      </c>
      <c r="G16" s="32">
        <v>2006</v>
      </c>
      <c r="I16" s="31">
        <f t="shared" si="1"/>
        <v>2.05</v>
      </c>
      <c r="J16" s="31">
        <f t="shared" si="1"/>
        <v>2.05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25" t="s">
        <v>533</v>
      </c>
      <c r="C17" s="20" t="s">
        <v>51</v>
      </c>
      <c r="D17" s="20" t="s">
        <v>80</v>
      </c>
      <c r="E17" s="26" t="s">
        <v>64</v>
      </c>
      <c r="F17" s="28">
        <v>1.5</v>
      </c>
      <c r="G17" s="32">
        <v>2006</v>
      </c>
      <c r="I17" s="31">
        <f t="shared" si="1"/>
        <v>1.5</v>
      </c>
      <c r="J17" s="31">
        <f t="shared" si="1"/>
        <v>1.5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329</v>
      </c>
      <c r="C18" s="20" t="s">
        <v>48</v>
      </c>
      <c r="D18" s="20" t="s">
        <v>78</v>
      </c>
      <c r="E18" s="26" t="s">
        <v>64</v>
      </c>
      <c r="F18" s="28">
        <v>23</v>
      </c>
      <c r="G18" s="32">
        <v>2005</v>
      </c>
      <c r="I18" s="31">
        <f t="shared" si="1"/>
        <v>23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25" t="s">
        <v>578</v>
      </c>
      <c r="C19" s="20" t="s">
        <v>49</v>
      </c>
      <c r="D19" s="20" t="s">
        <v>73</v>
      </c>
      <c r="E19" s="26" t="s">
        <v>64</v>
      </c>
      <c r="F19" s="28">
        <v>5.05</v>
      </c>
      <c r="G19" s="32">
        <v>2005</v>
      </c>
      <c r="I19" s="31">
        <f t="shared" si="1"/>
        <v>5.05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19" t="s">
        <v>331</v>
      </c>
      <c r="C20" s="20" t="s">
        <v>48</v>
      </c>
      <c r="D20" s="20" t="s">
        <v>78</v>
      </c>
      <c r="E20" s="20" t="s">
        <v>64</v>
      </c>
      <c r="F20" s="33">
        <v>3.75</v>
      </c>
      <c r="G20" s="34">
        <v>2005</v>
      </c>
      <c r="I20" s="31">
        <f t="shared" si="1"/>
        <v>3.75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25" t="s">
        <v>613</v>
      </c>
      <c r="C21" s="20" t="s">
        <v>48</v>
      </c>
      <c r="D21" s="20" t="s">
        <v>156</v>
      </c>
      <c r="E21" s="26" t="s">
        <v>64</v>
      </c>
      <c r="F21" s="28">
        <v>1.25</v>
      </c>
      <c r="G21" s="32">
        <v>2005</v>
      </c>
      <c r="I21" s="31">
        <f t="shared" si="1"/>
        <v>1.25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25" t="s">
        <v>285</v>
      </c>
      <c r="C22" s="20" t="s">
        <v>52</v>
      </c>
      <c r="D22" s="20" t="s">
        <v>63</v>
      </c>
      <c r="E22" s="26" t="s">
        <v>64</v>
      </c>
      <c r="F22" s="28">
        <v>1.25</v>
      </c>
      <c r="G22" s="32">
        <v>2005</v>
      </c>
      <c r="I22" s="31">
        <f t="shared" si="1"/>
        <v>1.25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25" t="s">
        <v>556</v>
      </c>
      <c r="C23" s="20" t="s">
        <v>47</v>
      </c>
      <c r="D23" s="20" t="s">
        <v>150</v>
      </c>
      <c r="E23" s="26" t="s">
        <v>64</v>
      </c>
      <c r="F23" s="28">
        <v>1.25</v>
      </c>
      <c r="G23" s="32">
        <v>2005</v>
      </c>
      <c r="I23" s="31">
        <f t="shared" si="1"/>
        <v>1.25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25" t="s">
        <v>654</v>
      </c>
      <c r="C24" s="20" t="s">
        <v>52</v>
      </c>
      <c r="D24" s="20" t="s">
        <v>118</v>
      </c>
      <c r="E24" s="26" t="s">
        <v>64</v>
      </c>
      <c r="F24" s="28">
        <v>1.25</v>
      </c>
      <c r="G24" s="32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25" t="s">
        <v>642</v>
      </c>
      <c r="C25" s="20" t="s">
        <v>48</v>
      </c>
      <c r="D25" s="20" t="s">
        <v>169</v>
      </c>
      <c r="E25" s="26" t="s">
        <v>64</v>
      </c>
      <c r="F25" s="28">
        <v>1.25</v>
      </c>
      <c r="G25" s="32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25" t="s">
        <v>620</v>
      </c>
      <c r="C26" s="20" t="s">
        <v>52</v>
      </c>
      <c r="D26" s="20" t="s">
        <v>78</v>
      </c>
      <c r="E26" s="26" t="s">
        <v>64</v>
      </c>
      <c r="F26" s="28">
        <v>1.25</v>
      </c>
      <c r="G26" s="32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25" t="s">
        <v>586</v>
      </c>
      <c r="C27" s="20" t="s">
        <v>51</v>
      </c>
      <c r="D27" s="20" t="s">
        <v>150</v>
      </c>
      <c r="E27" s="26" t="s">
        <v>64</v>
      </c>
      <c r="F27" s="28">
        <v>1.25</v>
      </c>
      <c r="G27" s="32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225</v>
      </c>
      <c r="C28" s="20" t="s">
        <v>50</v>
      </c>
      <c r="D28" s="20" t="s">
        <v>128</v>
      </c>
      <c r="E28" s="20" t="s">
        <v>64</v>
      </c>
      <c r="F28" s="33">
        <v>1</v>
      </c>
      <c r="G28" s="34">
        <v>2005</v>
      </c>
      <c r="I28" s="31">
        <f t="shared" si="1"/>
        <v>1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25"/>
      <c r="D29" s="20"/>
      <c r="E29" s="26"/>
      <c r="F29" s="28"/>
      <c r="G29" s="32"/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2:13" ht="12.75">
      <c r="B31" s="25"/>
      <c r="D31" s="20"/>
      <c r="E31" s="26"/>
      <c r="F31" s="28"/>
      <c r="G31" s="32"/>
      <c r="I31" s="36">
        <f>+SUM(I5:I29)</f>
        <v>88.94999999999999</v>
      </c>
      <c r="J31" s="36">
        <f>+SUM(J5:J29)</f>
        <v>47.39999999999999</v>
      </c>
      <c r="K31" s="36">
        <f>+SUM(K5:K29)</f>
        <v>34.55</v>
      </c>
      <c r="L31" s="36">
        <f>+SUM(L5:L29)</f>
        <v>17.05</v>
      </c>
      <c r="M31" s="36">
        <f>+SUM(M5:M29)</f>
        <v>14.3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25" t="s">
        <v>577</v>
      </c>
      <c r="C37" s="20" t="s">
        <v>52</v>
      </c>
      <c r="D37" s="20" t="s">
        <v>91</v>
      </c>
      <c r="E37" s="26">
        <v>2005</v>
      </c>
      <c r="F37" s="28">
        <v>2.25</v>
      </c>
      <c r="G37" s="32">
        <v>2009</v>
      </c>
      <c r="I37" s="31">
        <f aca="true" t="shared" si="2" ref="I37:I44">+CEILING(IF($I$35=E37,F37,IF($I$35&lt;=G37,F37*0.3,0)),0.05)</f>
        <v>2.25</v>
      </c>
      <c r="J37" s="31">
        <f aca="true" t="shared" si="3" ref="J37:J44">+CEILING(IF($J$35&lt;=G37,F37*0.3,0),0.05)</f>
        <v>0.7000000000000001</v>
      </c>
      <c r="K37" s="31">
        <f aca="true" t="shared" si="4" ref="K37:K44">+CEILING(IF($K$35&lt;=G37,F37*0.3,0),0.05)</f>
        <v>0.7000000000000001</v>
      </c>
      <c r="L37" s="31">
        <f aca="true" t="shared" si="5" ref="L37:L44">+CEILING(IF($L$35&lt;=G37,F37*0.3,0),0.05)</f>
        <v>0.7000000000000001</v>
      </c>
      <c r="M37" s="31">
        <f aca="true" t="shared" si="6" ref="M37:M44">CEILING(IF($M$35&lt;=G37,F37*0.3,0),0.05)</f>
        <v>0.7000000000000001</v>
      </c>
    </row>
    <row r="38" spans="1:13" ht="12.75">
      <c r="A38" s="24">
        <v>2</v>
      </c>
      <c r="B38" s="25" t="s">
        <v>353</v>
      </c>
      <c r="C38" s="20" t="s">
        <v>52</v>
      </c>
      <c r="D38" s="20" t="s">
        <v>110</v>
      </c>
      <c r="E38" s="26">
        <v>2005</v>
      </c>
      <c r="F38" s="28">
        <v>3.7</v>
      </c>
      <c r="G38" s="32">
        <v>2008</v>
      </c>
      <c r="I38" s="31">
        <f t="shared" si="2"/>
        <v>3.7</v>
      </c>
      <c r="J38" s="31">
        <f t="shared" si="3"/>
        <v>1.1500000000000001</v>
      </c>
      <c r="K38" s="31">
        <f t="shared" si="4"/>
        <v>1.1500000000000001</v>
      </c>
      <c r="L38" s="31">
        <f t="shared" si="5"/>
        <v>1.1500000000000001</v>
      </c>
      <c r="M38" s="31">
        <f t="shared" si="6"/>
        <v>0</v>
      </c>
    </row>
    <row r="39" spans="1:13" ht="12.75">
      <c r="A39" s="24">
        <v>3</v>
      </c>
      <c r="B39" s="25" t="s">
        <v>324</v>
      </c>
      <c r="C39" s="20" t="s">
        <v>53</v>
      </c>
      <c r="D39" s="20" t="s">
        <v>128</v>
      </c>
      <c r="E39" s="26">
        <v>2004</v>
      </c>
      <c r="F39" s="28">
        <v>1.8</v>
      </c>
      <c r="G39" s="32">
        <v>2007</v>
      </c>
      <c r="I39" s="31">
        <f t="shared" si="2"/>
        <v>0.55</v>
      </c>
      <c r="J39" s="31">
        <f t="shared" si="3"/>
        <v>0.55</v>
      </c>
      <c r="K39" s="31">
        <f t="shared" si="4"/>
        <v>0.55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B40" s="25" t="s">
        <v>325</v>
      </c>
      <c r="C40" s="20" t="s">
        <v>52</v>
      </c>
      <c r="D40" s="20" t="s">
        <v>150</v>
      </c>
      <c r="E40" s="26">
        <v>2005</v>
      </c>
      <c r="F40" s="28">
        <v>1</v>
      </c>
      <c r="G40" s="32">
        <v>2007</v>
      </c>
      <c r="I40" s="31">
        <f t="shared" si="2"/>
        <v>1</v>
      </c>
      <c r="J40" s="31">
        <f t="shared" si="3"/>
        <v>0.30000000000000004</v>
      </c>
      <c r="K40" s="31">
        <f t="shared" si="4"/>
        <v>0.30000000000000004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B41" s="25" t="s">
        <v>467</v>
      </c>
      <c r="C41" s="20" t="s">
        <v>48</v>
      </c>
      <c r="D41" s="20" t="s">
        <v>169</v>
      </c>
      <c r="E41" s="26">
        <v>2005</v>
      </c>
      <c r="F41" s="28">
        <v>30.5</v>
      </c>
      <c r="G41" s="32">
        <v>2005</v>
      </c>
      <c r="I41" s="31">
        <f t="shared" si="2"/>
        <v>30.5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25" t="s">
        <v>151</v>
      </c>
      <c r="C42" s="20" t="s">
        <v>47</v>
      </c>
      <c r="D42" s="20" t="s">
        <v>150</v>
      </c>
      <c r="E42" s="26">
        <v>2005</v>
      </c>
      <c r="F42" s="28">
        <v>25</v>
      </c>
      <c r="G42" s="32">
        <v>2005</v>
      </c>
      <c r="I42" s="31">
        <f t="shared" si="2"/>
        <v>25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B43" s="25" t="s">
        <v>394</v>
      </c>
      <c r="C43" s="20" t="s">
        <v>48</v>
      </c>
      <c r="D43" s="20" t="s">
        <v>146</v>
      </c>
      <c r="E43" s="26">
        <v>2005</v>
      </c>
      <c r="F43" s="28">
        <v>3.25</v>
      </c>
      <c r="G43" s="32">
        <v>2005</v>
      </c>
      <c r="I43" s="31">
        <f>+CEILING(IF($I$35=E43,F43,IF($I$35&lt;=G43,F43*0.3,0)),0.05)</f>
        <v>3.25</v>
      </c>
      <c r="J43" s="31">
        <f>+CEILING(IF($J$35&lt;=G43,F43*0.3,0),0.05)</f>
        <v>0</v>
      </c>
      <c r="K43" s="31">
        <f>+CEILING(IF($K$35&lt;=G43,F43*0.3,0),0.05)</f>
        <v>0</v>
      </c>
      <c r="L43" s="31">
        <f>+CEILING(IF($L$35&lt;=G43,F43*0.3,0),0.05)</f>
        <v>0</v>
      </c>
      <c r="M43" s="31">
        <f>CEILING(IF($M$35&lt;=G43,F43*0.3,0),0.05)</f>
        <v>0</v>
      </c>
    </row>
    <row r="44" spans="1:13" ht="12.75">
      <c r="A44" s="24">
        <v>8</v>
      </c>
      <c r="B44" s="25" t="s">
        <v>332</v>
      </c>
      <c r="C44" s="20" t="s">
        <v>51</v>
      </c>
      <c r="D44" s="20" t="s">
        <v>98</v>
      </c>
      <c r="E44" s="26">
        <v>2004</v>
      </c>
      <c r="F44" s="28">
        <v>1.6</v>
      </c>
      <c r="G44" s="32">
        <v>2005</v>
      </c>
      <c r="I44" s="31">
        <f t="shared" si="2"/>
        <v>0.5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9:13" ht="7.5" customHeight="1">
      <c r="I45" s="25"/>
      <c r="J45" s="25"/>
      <c r="K45" s="25"/>
      <c r="L45" s="25"/>
      <c r="M45" s="25"/>
    </row>
    <row r="46" spans="9:13" ht="12.75">
      <c r="I46" s="36">
        <f>+SUM(I37:I45)</f>
        <v>66.75</v>
      </c>
      <c r="J46" s="36">
        <f>+SUM(J37:J45)</f>
        <v>2.7</v>
      </c>
      <c r="K46" s="36">
        <f>+SUM(K37:K45)</f>
        <v>2.7</v>
      </c>
      <c r="L46" s="36">
        <f>+SUM(L37:L45)</f>
        <v>1.85</v>
      </c>
      <c r="M46" s="36">
        <f>+SUM(M37:M45)</f>
        <v>0.7000000000000001</v>
      </c>
    </row>
    <row r="47" spans="9:13" ht="12.75">
      <c r="I47" s="37"/>
      <c r="J47" s="37"/>
      <c r="K47" s="37"/>
      <c r="L47" s="37"/>
      <c r="M47" s="37"/>
    </row>
    <row r="48" spans="1:13" ht="15.75">
      <c r="A48" s="50" t="s">
        <v>87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9:13" ht="7.5" customHeight="1">
      <c r="I49" s="37"/>
      <c r="J49" s="37"/>
      <c r="K49" s="37"/>
      <c r="L49" s="37"/>
      <c r="M49" s="37"/>
    </row>
    <row r="50" spans="1:13" ht="12.75">
      <c r="A50" s="24"/>
      <c r="B50" s="21" t="s">
        <v>88</v>
      </c>
      <c r="C50" s="22"/>
      <c r="D50" s="22"/>
      <c r="E50" s="22"/>
      <c r="F50" s="22" t="s">
        <v>89</v>
      </c>
      <c r="G50" s="22" t="s">
        <v>27</v>
      </c>
      <c r="I50" s="23">
        <f>+I$3</f>
        <v>2005</v>
      </c>
      <c r="J50" s="23">
        <f>+J$3</f>
        <v>2006</v>
      </c>
      <c r="K50" s="23">
        <f>+K$3</f>
        <v>2007</v>
      </c>
      <c r="L50" s="23">
        <f>+L$3</f>
        <v>2008</v>
      </c>
      <c r="M50" s="23">
        <f>+M$3</f>
        <v>2009</v>
      </c>
    </row>
    <row r="51" spans="1:13" ht="7.5" customHeight="1">
      <c r="A51" s="24"/>
      <c r="I51" s="38"/>
      <c r="J51" s="38"/>
      <c r="K51" s="38"/>
      <c r="L51" s="38"/>
      <c r="M51" s="38"/>
    </row>
    <row r="52" spans="1:13" ht="12.75">
      <c r="A52" s="24">
        <v>1</v>
      </c>
      <c r="B52" s="48" t="s">
        <v>666</v>
      </c>
      <c r="C52" s="48"/>
      <c r="D52" s="48"/>
      <c r="E52" s="48"/>
      <c r="F52" s="27">
        <v>-8.4</v>
      </c>
      <c r="G52" s="20">
        <v>2005</v>
      </c>
      <c r="I52" s="38">
        <v>-8.4</v>
      </c>
      <c r="J52" s="38"/>
      <c r="K52" s="38"/>
      <c r="L52" s="38"/>
      <c r="M52" s="38"/>
    </row>
    <row r="53" spans="1:13" ht="12.75">
      <c r="A53" s="24">
        <v>2</v>
      </c>
      <c r="B53" s="48"/>
      <c r="C53" s="48"/>
      <c r="D53" s="48"/>
      <c r="E53" s="48"/>
      <c r="I53" s="38"/>
      <c r="J53" s="38"/>
      <c r="K53" s="38"/>
      <c r="L53" s="38"/>
      <c r="M53" s="38"/>
    </row>
    <row r="54" spans="1:13" ht="7.5" customHeight="1">
      <c r="A54" s="24"/>
      <c r="I54" s="38"/>
      <c r="J54" s="38"/>
      <c r="K54" s="38"/>
      <c r="L54" s="38"/>
      <c r="M54" s="38"/>
    </row>
    <row r="55" spans="1:13" ht="12.75">
      <c r="A55" s="24"/>
      <c r="I55" s="35">
        <f>+SUM(I52:I54)</f>
        <v>-8.4</v>
      </c>
      <c r="J55" s="35">
        <f>+SUM(J52:J54)</f>
        <v>0</v>
      </c>
      <c r="K55" s="35">
        <f>+SUM(K52:K54)</f>
        <v>0</v>
      </c>
      <c r="L55" s="35">
        <f>+SUM(L52:L54)</f>
        <v>0</v>
      </c>
      <c r="M55" s="35">
        <f>+SUM(M52:M54)</f>
        <v>0</v>
      </c>
    </row>
  </sheetData>
  <sheetProtection/>
  <mergeCells count="5">
    <mergeCell ref="B52:E52"/>
    <mergeCell ref="B53:E53"/>
    <mergeCell ref="A1:M1"/>
    <mergeCell ref="A33:M33"/>
    <mergeCell ref="A48:M4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25" t="s">
        <v>436</v>
      </c>
      <c r="C5" s="20" t="s">
        <v>49</v>
      </c>
      <c r="D5" s="20" t="s">
        <v>110</v>
      </c>
      <c r="E5" s="26" t="s">
        <v>64</v>
      </c>
      <c r="F5" s="28">
        <v>1.25</v>
      </c>
      <c r="G5" s="32">
        <v>2009</v>
      </c>
      <c r="I5" s="31">
        <f aca="true" t="shared" si="0" ref="I5:M14">+IF($G5&gt;=I$3,$F5,0)</f>
        <v>1.25</v>
      </c>
      <c r="J5" s="31">
        <f t="shared" si="0"/>
        <v>1.25</v>
      </c>
      <c r="K5" s="31">
        <f t="shared" si="0"/>
        <v>1.25</v>
      </c>
      <c r="L5" s="31">
        <f t="shared" si="0"/>
        <v>1.25</v>
      </c>
      <c r="M5" s="31">
        <f t="shared" si="0"/>
        <v>1.25</v>
      </c>
    </row>
    <row r="6" spans="1:13" ht="12.75">
      <c r="A6" s="24">
        <v>2</v>
      </c>
      <c r="B6" s="19" t="s">
        <v>437</v>
      </c>
      <c r="C6" s="20" t="s">
        <v>52</v>
      </c>
      <c r="D6" s="20" t="s">
        <v>153</v>
      </c>
      <c r="E6" s="20" t="s">
        <v>64</v>
      </c>
      <c r="F6" s="33">
        <v>1.25</v>
      </c>
      <c r="G6" s="34">
        <v>2009</v>
      </c>
      <c r="I6" s="31">
        <f t="shared" si="0"/>
        <v>1.25</v>
      </c>
      <c r="J6" s="31">
        <f t="shared" si="0"/>
        <v>1.25</v>
      </c>
      <c r="K6" s="31">
        <f t="shared" si="0"/>
        <v>1.25</v>
      </c>
      <c r="L6" s="31">
        <f t="shared" si="0"/>
        <v>1.25</v>
      </c>
      <c r="M6" s="31">
        <f t="shared" si="0"/>
        <v>1.25</v>
      </c>
    </row>
    <row r="7" spans="1:13" ht="12.75">
      <c r="A7" s="24">
        <v>3</v>
      </c>
      <c r="B7" s="25" t="s">
        <v>79</v>
      </c>
      <c r="C7" s="20" t="s">
        <v>49</v>
      </c>
      <c r="D7" s="20" t="s">
        <v>80</v>
      </c>
      <c r="E7" s="20" t="s">
        <v>64</v>
      </c>
      <c r="F7" s="28">
        <v>8.25</v>
      </c>
      <c r="G7" s="32">
        <v>2008</v>
      </c>
      <c r="I7" s="31">
        <f t="shared" si="0"/>
        <v>8.25</v>
      </c>
      <c r="J7" s="31">
        <f t="shared" si="0"/>
        <v>8.25</v>
      </c>
      <c r="K7" s="31">
        <f t="shared" si="0"/>
        <v>8.25</v>
      </c>
      <c r="L7" s="31">
        <f t="shared" si="0"/>
        <v>8.25</v>
      </c>
      <c r="M7" s="31">
        <f t="shared" si="0"/>
        <v>0</v>
      </c>
    </row>
    <row r="8" spans="1:13" ht="12.75">
      <c r="A8" s="24">
        <v>4</v>
      </c>
      <c r="B8" s="19" t="s">
        <v>376</v>
      </c>
      <c r="C8" s="20" t="s">
        <v>48</v>
      </c>
      <c r="D8" s="20" t="s">
        <v>150</v>
      </c>
      <c r="E8" s="26" t="s">
        <v>64</v>
      </c>
      <c r="F8" s="33">
        <v>5.2</v>
      </c>
      <c r="G8" s="34">
        <v>2008</v>
      </c>
      <c r="I8" s="31">
        <f t="shared" si="0"/>
        <v>5.2</v>
      </c>
      <c r="J8" s="31">
        <f t="shared" si="0"/>
        <v>5.2</v>
      </c>
      <c r="K8" s="31">
        <f t="shared" si="0"/>
        <v>5.2</v>
      </c>
      <c r="L8" s="31">
        <f t="shared" si="0"/>
        <v>5.2</v>
      </c>
      <c r="M8" s="31">
        <f t="shared" si="0"/>
        <v>0</v>
      </c>
    </row>
    <row r="9" spans="1:13" ht="12.75">
      <c r="A9" s="24">
        <v>5</v>
      </c>
      <c r="B9" s="25" t="s">
        <v>338</v>
      </c>
      <c r="C9" s="20" t="s">
        <v>50</v>
      </c>
      <c r="D9" s="20" t="s">
        <v>78</v>
      </c>
      <c r="E9" s="26" t="s">
        <v>64</v>
      </c>
      <c r="F9" s="28">
        <v>2.15</v>
      </c>
      <c r="G9" s="32">
        <v>2008</v>
      </c>
      <c r="I9" s="31">
        <f t="shared" si="0"/>
        <v>2.15</v>
      </c>
      <c r="J9" s="31">
        <f t="shared" si="0"/>
        <v>2.15</v>
      </c>
      <c r="K9" s="31">
        <f t="shared" si="0"/>
        <v>2.15</v>
      </c>
      <c r="L9" s="31">
        <f t="shared" si="0"/>
        <v>2.15</v>
      </c>
      <c r="M9" s="31">
        <f t="shared" si="0"/>
        <v>0</v>
      </c>
    </row>
    <row r="10" spans="1:13" ht="12.75">
      <c r="A10" s="24">
        <v>6</v>
      </c>
      <c r="B10" s="19" t="s">
        <v>378</v>
      </c>
      <c r="C10" s="20" t="s">
        <v>53</v>
      </c>
      <c r="D10" s="20" t="s">
        <v>78</v>
      </c>
      <c r="E10" s="26" t="s">
        <v>64</v>
      </c>
      <c r="F10" s="33">
        <v>1.3</v>
      </c>
      <c r="G10" s="34">
        <v>2008</v>
      </c>
      <c r="I10" s="31">
        <f t="shared" si="0"/>
        <v>1.3</v>
      </c>
      <c r="J10" s="31">
        <f t="shared" si="0"/>
        <v>1.3</v>
      </c>
      <c r="K10" s="31">
        <f t="shared" si="0"/>
        <v>1.3</v>
      </c>
      <c r="L10" s="31">
        <f t="shared" si="0"/>
        <v>1.3</v>
      </c>
      <c r="M10" s="31">
        <f t="shared" si="0"/>
        <v>0</v>
      </c>
    </row>
    <row r="11" spans="1:13" ht="12.75">
      <c r="A11" s="24">
        <v>7</v>
      </c>
      <c r="B11" s="25" t="s">
        <v>300</v>
      </c>
      <c r="C11" s="20" t="s">
        <v>48</v>
      </c>
      <c r="D11" s="20" t="s">
        <v>76</v>
      </c>
      <c r="E11" s="26" t="s">
        <v>64</v>
      </c>
      <c r="F11" s="28">
        <v>1.1</v>
      </c>
      <c r="G11" s="32">
        <v>2008</v>
      </c>
      <c r="I11" s="31">
        <f t="shared" si="0"/>
        <v>1.1</v>
      </c>
      <c r="J11" s="31">
        <f t="shared" si="0"/>
        <v>1.1</v>
      </c>
      <c r="K11" s="31">
        <f t="shared" si="0"/>
        <v>1.1</v>
      </c>
      <c r="L11" s="31">
        <f t="shared" si="0"/>
        <v>1.1</v>
      </c>
      <c r="M11" s="31">
        <f t="shared" si="0"/>
        <v>0</v>
      </c>
    </row>
    <row r="12" spans="1:13" ht="12.75">
      <c r="A12" s="24">
        <v>8</v>
      </c>
      <c r="B12" s="25" t="s">
        <v>83</v>
      </c>
      <c r="C12" s="20" t="s">
        <v>52</v>
      </c>
      <c r="D12" s="20" t="s">
        <v>84</v>
      </c>
      <c r="E12" s="20" t="s">
        <v>64</v>
      </c>
      <c r="F12" s="28">
        <v>1.1</v>
      </c>
      <c r="G12" s="32">
        <v>2008</v>
      </c>
      <c r="I12" s="31">
        <f t="shared" si="0"/>
        <v>1.1</v>
      </c>
      <c r="J12" s="31">
        <f t="shared" si="0"/>
        <v>1.1</v>
      </c>
      <c r="K12" s="31">
        <f t="shared" si="0"/>
        <v>1.1</v>
      </c>
      <c r="L12" s="31">
        <f t="shared" si="0"/>
        <v>1.1</v>
      </c>
      <c r="M12" s="31">
        <f t="shared" si="0"/>
        <v>0</v>
      </c>
    </row>
    <row r="13" spans="1:13" ht="12.75">
      <c r="A13" s="24">
        <v>9</v>
      </c>
      <c r="B13" s="25" t="s">
        <v>62</v>
      </c>
      <c r="C13" s="20" t="s">
        <v>49</v>
      </c>
      <c r="D13" s="20" t="s">
        <v>169</v>
      </c>
      <c r="E13" s="26" t="s">
        <v>64</v>
      </c>
      <c r="F13" s="28">
        <v>15.2</v>
      </c>
      <c r="G13" s="30">
        <v>2007</v>
      </c>
      <c r="I13" s="31">
        <f t="shared" si="0"/>
        <v>15.2</v>
      </c>
      <c r="J13" s="31">
        <f t="shared" si="0"/>
        <v>15.2</v>
      </c>
      <c r="K13" s="31">
        <f t="shared" si="0"/>
        <v>15.2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25" t="s">
        <v>65</v>
      </c>
      <c r="C14" s="20" t="s">
        <v>47</v>
      </c>
      <c r="D14" s="20" t="s">
        <v>66</v>
      </c>
      <c r="E14" s="26" t="s">
        <v>64</v>
      </c>
      <c r="F14" s="28">
        <v>6.3</v>
      </c>
      <c r="G14" s="32">
        <v>2007</v>
      </c>
      <c r="I14" s="31">
        <f t="shared" si="0"/>
        <v>6.3</v>
      </c>
      <c r="J14" s="31">
        <f t="shared" si="0"/>
        <v>6.3</v>
      </c>
      <c r="K14" s="31">
        <f t="shared" si="0"/>
        <v>6.3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25" t="s">
        <v>67</v>
      </c>
      <c r="C15" s="20" t="s">
        <v>52</v>
      </c>
      <c r="D15" s="20" t="s">
        <v>68</v>
      </c>
      <c r="E15" s="26" t="s">
        <v>64</v>
      </c>
      <c r="F15" s="28">
        <v>6.25</v>
      </c>
      <c r="G15" s="32">
        <v>2007</v>
      </c>
      <c r="I15" s="31">
        <f aca="true" t="shared" si="1" ref="I15:M29">+IF($G15&gt;=I$3,$F15,0)</f>
        <v>6.25</v>
      </c>
      <c r="J15" s="31">
        <f t="shared" si="1"/>
        <v>6.25</v>
      </c>
      <c r="K15" s="31">
        <f t="shared" si="1"/>
        <v>6.25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25" t="s">
        <v>69</v>
      </c>
      <c r="C16" s="20" t="s">
        <v>53</v>
      </c>
      <c r="D16" s="20" t="s">
        <v>70</v>
      </c>
      <c r="E16" s="26" t="s">
        <v>64</v>
      </c>
      <c r="F16" s="28">
        <v>4.35</v>
      </c>
      <c r="G16" s="32">
        <v>2007</v>
      </c>
      <c r="I16" s="31">
        <f t="shared" si="1"/>
        <v>4.35</v>
      </c>
      <c r="J16" s="31">
        <f t="shared" si="1"/>
        <v>4.35</v>
      </c>
      <c r="K16" s="31">
        <f t="shared" si="1"/>
        <v>4.35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19" t="s">
        <v>71</v>
      </c>
      <c r="C17" s="20" t="s">
        <v>48</v>
      </c>
      <c r="D17" s="20" t="s">
        <v>72</v>
      </c>
      <c r="E17" s="20" t="s">
        <v>64</v>
      </c>
      <c r="F17" s="33">
        <v>3.15</v>
      </c>
      <c r="G17" s="34">
        <v>2007</v>
      </c>
      <c r="I17" s="31">
        <f t="shared" si="1"/>
        <v>3.15</v>
      </c>
      <c r="J17" s="31">
        <f t="shared" si="1"/>
        <v>3.15</v>
      </c>
      <c r="K17" s="31">
        <f t="shared" si="1"/>
        <v>3.15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19" t="s">
        <v>400</v>
      </c>
      <c r="C18" s="20" t="s">
        <v>50</v>
      </c>
      <c r="D18" s="20" t="s">
        <v>73</v>
      </c>
      <c r="E18" s="20" t="s">
        <v>64</v>
      </c>
      <c r="F18" s="33">
        <v>1.4</v>
      </c>
      <c r="G18" s="34">
        <v>2007</v>
      </c>
      <c r="I18" s="31">
        <f t="shared" si="1"/>
        <v>1.4</v>
      </c>
      <c r="J18" s="31">
        <f t="shared" si="1"/>
        <v>1.4</v>
      </c>
      <c r="K18" s="31">
        <f t="shared" si="1"/>
        <v>1.4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25" t="s">
        <v>75</v>
      </c>
      <c r="C19" s="20" t="s">
        <v>48</v>
      </c>
      <c r="D19" s="20" t="s">
        <v>76</v>
      </c>
      <c r="E19" s="26" t="s">
        <v>64</v>
      </c>
      <c r="F19" s="28">
        <v>27.1</v>
      </c>
      <c r="G19" s="32">
        <v>2006</v>
      </c>
      <c r="I19" s="31">
        <f t="shared" si="1"/>
        <v>27.1</v>
      </c>
      <c r="J19" s="31">
        <f t="shared" si="1"/>
        <v>27.1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405</v>
      </c>
      <c r="C20" s="20" t="s">
        <v>49</v>
      </c>
      <c r="D20" s="20" t="s">
        <v>77</v>
      </c>
      <c r="E20" s="26" t="s">
        <v>402</v>
      </c>
      <c r="F20" s="28">
        <v>20.2</v>
      </c>
      <c r="G20" s="32">
        <v>2005</v>
      </c>
      <c r="I20" s="31">
        <f t="shared" si="1"/>
        <v>20.2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19" t="s">
        <v>550</v>
      </c>
      <c r="C21" s="20" t="s">
        <v>51</v>
      </c>
      <c r="D21" s="20" t="s">
        <v>72</v>
      </c>
      <c r="E21" s="20" t="s">
        <v>64</v>
      </c>
      <c r="F21" s="33">
        <v>3</v>
      </c>
      <c r="G21" s="34">
        <v>2005</v>
      </c>
      <c r="I21" s="31">
        <f t="shared" si="1"/>
        <v>3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19" t="s">
        <v>713</v>
      </c>
      <c r="C22" s="20" t="s">
        <v>47</v>
      </c>
      <c r="D22" s="20" t="s">
        <v>128</v>
      </c>
      <c r="E22" s="26" t="s">
        <v>64</v>
      </c>
      <c r="F22" s="33">
        <v>1.25</v>
      </c>
      <c r="G22" s="34">
        <v>2005</v>
      </c>
      <c r="I22" s="31">
        <f t="shared" si="1"/>
        <v>1.25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25" t="s">
        <v>714</v>
      </c>
      <c r="C23" s="20" t="s">
        <v>52</v>
      </c>
      <c r="D23" s="20" t="s">
        <v>106</v>
      </c>
      <c r="E23" s="26" t="s">
        <v>64</v>
      </c>
      <c r="F23" s="28">
        <v>1.25</v>
      </c>
      <c r="G23" s="32">
        <v>2005</v>
      </c>
      <c r="I23" s="31">
        <f t="shared" si="1"/>
        <v>1.25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25" t="s">
        <v>693</v>
      </c>
      <c r="C24" s="20" t="s">
        <v>47</v>
      </c>
      <c r="D24" s="20" t="s">
        <v>110</v>
      </c>
      <c r="E24" s="20" t="s">
        <v>64</v>
      </c>
      <c r="F24" s="28">
        <v>1.25</v>
      </c>
      <c r="G24" s="32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25" t="s">
        <v>664</v>
      </c>
      <c r="C25" s="20" t="s">
        <v>53</v>
      </c>
      <c r="D25" s="20" t="s">
        <v>100</v>
      </c>
      <c r="E25" s="26" t="s">
        <v>64</v>
      </c>
      <c r="F25" s="28">
        <v>1.25</v>
      </c>
      <c r="G25" s="32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19" t="s">
        <v>715</v>
      </c>
      <c r="C26" s="20" t="s">
        <v>52</v>
      </c>
      <c r="D26" s="20" t="s">
        <v>63</v>
      </c>
      <c r="E26" s="26" t="s">
        <v>64</v>
      </c>
      <c r="F26" s="28">
        <v>1.25</v>
      </c>
      <c r="G26" s="32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19" t="s">
        <v>614</v>
      </c>
      <c r="C27" s="20" t="s">
        <v>52</v>
      </c>
      <c r="D27" s="20" t="s">
        <v>68</v>
      </c>
      <c r="E27" s="26" t="s">
        <v>64</v>
      </c>
      <c r="F27" s="33">
        <v>1.25</v>
      </c>
      <c r="G27" s="34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25" t="s">
        <v>692</v>
      </c>
      <c r="C28" s="20" t="s">
        <v>52</v>
      </c>
      <c r="D28" s="20" t="s">
        <v>91</v>
      </c>
      <c r="E28" s="26" t="s">
        <v>64</v>
      </c>
      <c r="F28" s="28">
        <v>1.25</v>
      </c>
      <c r="G28" s="32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19" t="s">
        <v>561</v>
      </c>
      <c r="C29" s="20" t="s">
        <v>48</v>
      </c>
      <c r="D29" s="20" t="s">
        <v>72</v>
      </c>
      <c r="E29" s="26" t="s">
        <v>64</v>
      </c>
      <c r="F29" s="28">
        <v>1.25</v>
      </c>
      <c r="G29" s="32">
        <v>2005</v>
      </c>
      <c r="I29" s="31">
        <f t="shared" si="1"/>
        <v>1.25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9:13" ht="12.75">
      <c r="I31" s="36">
        <f>+SUM(I5:I29)</f>
        <v>118.55</v>
      </c>
      <c r="J31" s="36">
        <f>+SUM(J5:J29)</f>
        <v>85.35</v>
      </c>
      <c r="K31" s="36">
        <f>+SUM(K5:K29)</f>
        <v>58.24999999999999</v>
      </c>
      <c r="L31" s="36">
        <f>+SUM(L5:L29)</f>
        <v>21.6</v>
      </c>
      <c r="M31" s="36">
        <f>+SUM(M5:M29)</f>
        <v>2.5</v>
      </c>
    </row>
    <row r="33" spans="1:13" ht="16.5" customHeight="1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19" t="s">
        <v>337</v>
      </c>
      <c r="C37" s="20" t="s">
        <v>52</v>
      </c>
      <c r="D37" s="20" t="s">
        <v>118</v>
      </c>
      <c r="E37" s="26">
        <v>2005</v>
      </c>
      <c r="F37" s="33">
        <v>2.3</v>
      </c>
      <c r="G37" s="34">
        <v>2008</v>
      </c>
      <c r="I37" s="31">
        <f aca="true" t="shared" si="2" ref="I37:I51">+CEILING(IF($I$35=E37,F37,IF($I$35&lt;=G37,F37*0.3,0)),0.05)</f>
        <v>2.3000000000000003</v>
      </c>
      <c r="J37" s="31">
        <f aca="true" t="shared" si="3" ref="J37:J51">+CEILING(IF($J$35&lt;=G37,F37*0.3,0),0.05)</f>
        <v>0.7000000000000001</v>
      </c>
      <c r="K37" s="31">
        <f aca="true" t="shared" si="4" ref="K37:K51">+CEILING(IF($K$35&lt;=G37,F37*0.3,0),0.05)</f>
        <v>0.7000000000000001</v>
      </c>
      <c r="L37" s="31">
        <f aca="true" t="shared" si="5" ref="L37:L51">+CEILING(IF($L$35&lt;=G37,F37*0.3,0),0.05)</f>
        <v>0.7000000000000001</v>
      </c>
      <c r="M37" s="31">
        <f aca="true" t="shared" si="6" ref="M37:M51">CEILING(IF($M$35&lt;=G37,F37*0.3,0),0.05)</f>
        <v>0</v>
      </c>
    </row>
    <row r="38" spans="1:13" ht="12.75">
      <c r="A38" s="24">
        <v>2</v>
      </c>
      <c r="B38" s="25" t="s">
        <v>85</v>
      </c>
      <c r="C38" s="20" t="s">
        <v>53</v>
      </c>
      <c r="D38" s="20" t="s">
        <v>72</v>
      </c>
      <c r="E38" s="20">
        <v>2005</v>
      </c>
      <c r="F38" s="28">
        <v>2.1</v>
      </c>
      <c r="G38" s="32">
        <v>2008</v>
      </c>
      <c r="I38" s="31">
        <f t="shared" si="2"/>
        <v>2.1</v>
      </c>
      <c r="J38" s="31">
        <f t="shared" si="3"/>
        <v>0.65</v>
      </c>
      <c r="K38" s="31">
        <f t="shared" si="4"/>
        <v>0.65</v>
      </c>
      <c r="L38" s="31">
        <f t="shared" si="5"/>
        <v>0.65</v>
      </c>
      <c r="M38" s="31">
        <f t="shared" si="6"/>
        <v>0</v>
      </c>
    </row>
    <row r="39" spans="1:13" ht="12.75">
      <c r="A39" s="24">
        <v>3</v>
      </c>
      <c r="B39" s="19" t="s">
        <v>382</v>
      </c>
      <c r="C39" s="20" t="s">
        <v>48</v>
      </c>
      <c r="D39" s="20" t="s">
        <v>146</v>
      </c>
      <c r="E39" s="26">
        <v>2004</v>
      </c>
      <c r="F39" s="33">
        <v>1.1</v>
      </c>
      <c r="G39" s="34">
        <v>2008</v>
      </c>
      <c r="I39" s="31">
        <f t="shared" si="2"/>
        <v>0.35000000000000003</v>
      </c>
      <c r="J39" s="31">
        <f t="shared" si="3"/>
        <v>0.35000000000000003</v>
      </c>
      <c r="K39" s="31">
        <f t="shared" si="4"/>
        <v>0.35000000000000003</v>
      </c>
      <c r="L39" s="31">
        <f t="shared" si="5"/>
        <v>0.35000000000000003</v>
      </c>
      <c r="M39" s="31">
        <f t="shared" si="6"/>
        <v>0</v>
      </c>
    </row>
    <row r="40" spans="1:13" ht="12.75">
      <c r="A40" s="24">
        <v>4</v>
      </c>
      <c r="B40" s="25" t="s">
        <v>74</v>
      </c>
      <c r="C40" s="20" t="s">
        <v>52</v>
      </c>
      <c r="D40" s="20" t="s">
        <v>66</v>
      </c>
      <c r="E40" s="26">
        <v>2005</v>
      </c>
      <c r="F40" s="28">
        <v>1</v>
      </c>
      <c r="G40" s="32">
        <v>2007</v>
      </c>
      <c r="I40" s="31">
        <f t="shared" si="2"/>
        <v>1</v>
      </c>
      <c r="J40" s="31">
        <f t="shared" si="3"/>
        <v>0.30000000000000004</v>
      </c>
      <c r="K40" s="31">
        <f t="shared" si="4"/>
        <v>0.30000000000000004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B41" s="25" t="s">
        <v>336</v>
      </c>
      <c r="C41" s="20" t="s">
        <v>52</v>
      </c>
      <c r="D41" s="20" t="s">
        <v>68</v>
      </c>
      <c r="E41" s="26">
        <v>2005</v>
      </c>
      <c r="F41" s="28">
        <v>3.4</v>
      </c>
      <c r="G41" s="32">
        <v>2006</v>
      </c>
      <c r="I41" s="31">
        <f t="shared" si="2"/>
        <v>3.4000000000000004</v>
      </c>
      <c r="J41" s="31">
        <f t="shared" si="3"/>
        <v>1.05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25" t="s">
        <v>280</v>
      </c>
      <c r="C42" s="20" t="s">
        <v>47</v>
      </c>
      <c r="D42" s="20" t="s">
        <v>66</v>
      </c>
      <c r="E42" s="26">
        <v>2005</v>
      </c>
      <c r="F42" s="28">
        <v>10.2</v>
      </c>
      <c r="G42" s="32">
        <v>2005</v>
      </c>
      <c r="I42" s="31">
        <f t="shared" si="2"/>
        <v>10.200000000000001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B43" s="19" t="s">
        <v>456</v>
      </c>
      <c r="C43" s="20" t="s">
        <v>47</v>
      </c>
      <c r="D43" s="20" t="s">
        <v>128</v>
      </c>
      <c r="E43" s="26">
        <v>2005</v>
      </c>
      <c r="F43" s="33">
        <v>8.05</v>
      </c>
      <c r="G43" s="34">
        <v>2005</v>
      </c>
      <c r="I43" s="31">
        <f t="shared" si="2"/>
        <v>8.05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B44" s="19" t="s">
        <v>562</v>
      </c>
      <c r="C44" s="20" t="s">
        <v>52</v>
      </c>
      <c r="D44" s="20" t="s">
        <v>70</v>
      </c>
      <c r="E44" s="26">
        <v>2005</v>
      </c>
      <c r="F44" s="28">
        <v>2.85</v>
      </c>
      <c r="G44" s="32">
        <v>2005</v>
      </c>
      <c r="I44" s="31">
        <f aca="true" t="shared" si="7" ref="I44:I50">+CEILING(IF($I$35=E44,F44,IF($I$35&lt;=G44,F44*0.3,0)),0.05)</f>
        <v>2.85</v>
      </c>
      <c r="J44" s="31">
        <f aca="true" t="shared" si="8" ref="J44:J50">+CEILING(IF($J$35&lt;=G44,F44*0.3,0),0.05)</f>
        <v>0</v>
      </c>
      <c r="K44" s="31">
        <f aca="true" t="shared" si="9" ref="K44:K50">+CEILING(IF($K$35&lt;=G44,F44*0.3,0),0.05)</f>
        <v>0</v>
      </c>
      <c r="L44" s="31">
        <f aca="true" t="shared" si="10" ref="L44:L50">+CEILING(IF($L$35&lt;=G44,F44*0.3,0),0.05)</f>
        <v>0</v>
      </c>
      <c r="M44" s="31">
        <f aca="true" t="shared" si="11" ref="M44:M50">CEILING(IF($M$35&lt;=G44,F44*0.3,0),0.05)</f>
        <v>0</v>
      </c>
    </row>
    <row r="45" spans="1:13" ht="12.75">
      <c r="A45" s="24">
        <v>9</v>
      </c>
      <c r="B45" s="19" t="s">
        <v>661</v>
      </c>
      <c r="C45" s="20" t="s">
        <v>49</v>
      </c>
      <c r="D45" s="20" t="s">
        <v>113</v>
      </c>
      <c r="E45" s="26">
        <v>2005</v>
      </c>
      <c r="F45" s="28">
        <v>1.25</v>
      </c>
      <c r="G45" s="32">
        <v>2005</v>
      </c>
      <c r="I45" s="31">
        <f t="shared" si="7"/>
        <v>1.25</v>
      </c>
      <c r="J45" s="31">
        <f t="shared" si="8"/>
        <v>0</v>
      </c>
      <c r="K45" s="31">
        <f t="shared" si="9"/>
        <v>0</v>
      </c>
      <c r="L45" s="31">
        <f t="shared" si="10"/>
        <v>0</v>
      </c>
      <c r="M45" s="31">
        <f t="shared" si="11"/>
        <v>0</v>
      </c>
    </row>
    <row r="46" spans="1:13" ht="12.75">
      <c r="A46" s="24">
        <v>10</v>
      </c>
      <c r="B46" s="25" t="s">
        <v>586</v>
      </c>
      <c r="C46" s="20" t="s">
        <v>51</v>
      </c>
      <c r="D46" s="20" t="s">
        <v>150</v>
      </c>
      <c r="E46" s="26">
        <v>2005</v>
      </c>
      <c r="F46" s="28">
        <v>1.25</v>
      </c>
      <c r="G46" s="32">
        <v>2005</v>
      </c>
      <c r="I46" s="31">
        <f t="shared" si="7"/>
        <v>1.25</v>
      </c>
      <c r="J46" s="31">
        <f t="shared" si="8"/>
        <v>0</v>
      </c>
      <c r="K46" s="31">
        <f t="shared" si="9"/>
        <v>0</v>
      </c>
      <c r="L46" s="31">
        <f t="shared" si="10"/>
        <v>0</v>
      </c>
      <c r="M46" s="31">
        <f t="shared" si="11"/>
        <v>0</v>
      </c>
    </row>
    <row r="47" spans="1:13" ht="12.75">
      <c r="A47" s="24">
        <v>11</v>
      </c>
      <c r="B47" s="19" t="s">
        <v>253</v>
      </c>
      <c r="C47" s="20" t="s">
        <v>49</v>
      </c>
      <c r="D47" s="20" t="s">
        <v>113</v>
      </c>
      <c r="E47" s="20">
        <v>2005</v>
      </c>
      <c r="F47" s="33">
        <v>1.25</v>
      </c>
      <c r="G47" s="34">
        <v>2005</v>
      </c>
      <c r="I47" s="31">
        <f t="shared" si="7"/>
        <v>1.25</v>
      </c>
      <c r="J47" s="31">
        <f t="shared" si="8"/>
        <v>0</v>
      </c>
      <c r="K47" s="31">
        <f t="shared" si="9"/>
        <v>0</v>
      </c>
      <c r="L47" s="31">
        <f t="shared" si="10"/>
        <v>0</v>
      </c>
      <c r="M47" s="31">
        <f t="shared" si="11"/>
        <v>0</v>
      </c>
    </row>
    <row r="48" spans="1:13" ht="12.75">
      <c r="A48" s="24">
        <v>12</v>
      </c>
      <c r="B48" s="19" t="s">
        <v>691</v>
      </c>
      <c r="C48" s="20" t="s">
        <v>48</v>
      </c>
      <c r="D48" s="20" t="s">
        <v>113</v>
      </c>
      <c r="E48" s="26">
        <v>2005</v>
      </c>
      <c r="F48" s="28">
        <v>1.25</v>
      </c>
      <c r="G48" s="32">
        <v>2005</v>
      </c>
      <c r="I48" s="31">
        <f t="shared" si="7"/>
        <v>1.25</v>
      </c>
      <c r="J48" s="31">
        <f t="shared" si="8"/>
        <v>0</v>
      </c>
      <c r="K48" s="31">
        <f t="shared" si="9"/>
        <v>0</v>
      </c>
      <c r="L48" s="31">
        <f t="shared" si="10"/>
        <v>0</v>
      </c>
      <c r="M48" s="31">
        <f t="shared" si="11"/>
        <v>0</v>
      </c>
    </row>
    <row r="49" spans="1:13" ht="12.75">
      <c r="A49" s="24">
        <v>13</v>
      </c>
      <c r="B49" s="25" t="s">
        <v>673</v>
      </c>
      <c r="C49" s="20" t="s">
        <v>52</v>
      </c>
      <c r="D49" s="20" t="s">
        <v>118</v>
      </c>
      <c r="E49" s="26">
        <v>2005</v>
      </c>
      <c r="F49" s="28">
        <v>1.25</v>
      </c>
      <c r="G49" s="32">
        <v>2005</v>
      </c>
      <c r="I49" s="31">
        <f t="shared" si="7"/>
        <v>1.25</v>
      </c>
      <c r="J49" s="31">
        <f t="shared" si="8"/>
        <v>0</v>
      </c>
      <c r="K49" s="31">
        <f t="shared" si="9"/>
        <v>0</v>
      </c>
      <c r="L49" s="31">
        <f t="shared" si="10"/>
        <v>0</v>
      </c>
      <c r="M49" s="31">
        <f t="shared" si="11"/>
        <v>0</v>
      </c>
    </row>
    <row r="50" spans="1:13" ht="12.75">
      <c r="A50" s="24">
        <v>14</v>
      </c>
      <c r="B50" s="25" t="s">
        <v>708</v>
      </c>
      <c r="C50" s="20" t="s">
        <v>52</v>
      </c>
      <c r="D50" s="20" t="s">
        <v>113</v>
      </c>
      <c r="E50" s="26">
        <v>2005</v>
      </c>
      <c r="F50" s="28">
        <v>1.25</v>
      </c>
      <c r="G50" s="32">
        <v>2005</v>
      </c>
      <c r="I50" s="31">
        <f t="shared" si="7"/>
        <v>1.25</v>
      </c>
      <c r="J50" s="31">
        <f t="shared" si="8"/>
        <v>0</v>
      </c>
      <c r="K50" s="31">
        <f t="shared" si="9"/>
        <v>0</v>
      </c>
      <c r="L50" s="31">
        <f t="shared" si="10"/>
        <v>0</v>
      </c>
      <c r="M50" s="31">
        <f t="shared" si="11"/>
        <v>0</v>
      </c>
    </row>
    <row r="51" spans="1:13" ht="12.75">
      <c r="A51" s="24">
        <v>15</v>
      </c>
      <c r="B51" s="19" t="s">
        <v>280</v>
      </c>
      <c r="C51" s="20" t="s">
        <v>47</v>
      </c>
      <c r="D51" s="20" t="s">
        <v>66</v>
      </c>
      <c r="E51" s="26">
        <v>2005</v>
      </c>
      <c r="F51" s="28">
        <v>1.25</v>
      </c>
      <c r="G51" s="32">
        <v>2005</v>
      </c>
      <c r="I51" s="31">
        <f t="shared" si="2"/>
        <v>1.25</v>
      </c>
      <c r="J51" s="31">
        <f t="shared" si="3"/>
        <v>0</v>
      </c>
      <c r="K51" s="31">
        <f t="shared" si="4"/>
        <v>0</v>
      </c>
      <c r="L51" s="31">
        <f t="shared" si="5"/>
        <v>0</v>
      </c>
      <c r="M51" s="31">
        <f t="shared" si="6"/>
        <v>0</v>
      </c>
    </row>
    <row r="52" spans="9:13" ht="7.5" customHeight="1">
      <c r="I52" s="25"/>
      <c r="J52" s="25"/>
      <c r="K52" s="25"/>
      <c r="L52" s="25"/>
      <c r="M52" s="25"/>
    </row>
    <row r="53" spans="9:13" ht="12.75">
      <c r="I53" s="36">
        <f>+SUM(I37:I52)</f>
        <v>39</v>
      </c>
      <c r="J53" s="36">
        <f>+SUM(J37:J52)</f>
        <v>3.05</v>
      </c>
      <c r="K53" s="36">
        <f>+SUM(K37:K52)</f>
        <v>2</v>
      </c>
      <c r="L53" s="36">
        <f>+SUM(L37:L52)</f>
        <v>1.7000000000000002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6.5" customHeight="1">
      <c r="A55" s="50" t="s">
        <v>87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9:13" ht="7.5" customHeight="1">
      <c r="I56" s="37"/>
      <c r="J56" s="37"/>
      <c r="K56" s="37"/>
      <c r="L56" s="37"/>
      <c r="M56" s="37"/>
    </row>
    <row r="57" spans="1:13" ht="12.75">
      <c r="A57" s="24"/>
      <c r="B57" s="21" t="s">
        <v>88</v>
      </c>
      <c r="C57" s="22"/>
      <c r="D57" s="22"/>
      <c r="E57" s="22"/>
      <c r="F57" s="22" t="s">
        <v>89</v>
      </c>
      <c r="G57" s="22" t="s">
        <v>27</v>
      </c>
      <c r="I57" s="23">
        <f>+I$3</f>
        <v>2005</v>
      </c>
      <c r="J57" s="23">
        <f>+J$3</f>
        <v>2006</v>
      </c>
      <c r="K57" s="23">
        <f>+K$3</f>
        <v>2007</v>
      </c>
      <c r="L57" s="23">
        <f>+L$3</f>
        <v>2008</v>
      </c>
      <c r="M57" s="23">
        <f>+M$3</f>
        <v>2009</v>
      </c>
    </row>
    <row r="58" spans="1:13" ht="7.5" customHeight="1">
      <c r="A58" s="24"/>
      <c r="I58" s="38"/>
      <c r="J58" s="38"/>
      <c r="K58" s="38"/>
      <c r="L58" s="38"/>
      <c r="M58" s="38"/>
    </row>
    <row r="59" spans="1:13" ht="12.75">
      <c r="A59" s="24">
        <v>1</v>
      </c>
      <c r="B59" s="48"/>
      <c r="C59" s="48"/>
      <c r="D59" s="48"/>
      <c r="E59" s="48"/>
      <c r="I59" s="38"/>
      <c r="J59" s="38"/>
      <c r="K59" s="38"/>
      <c r="L59" s="38"/>
      <c r="M59" s="38"/>
    </row>
    <row r="60" spans="1:13" ht="12.75">
      <c r="A60" s="24">
        <v>2</v>
      </c>
      <c r="B60" s="48"/>
      <c r="C60" s="48"/>
      <c r="D60" s="48"/>
      <c r="E60" s="48"/>
      <c r="I60" s="38"/>
      <c r="J60" s="38"/>
      <c r="K60" s="38"/>
      <c r="L60" s="38"/>
      <c r="M60" s="38"/>
    </row>
    <row r="61" spans="1:13" ht="7.5" customHeight="1">
      <c r="A61" s="24"/>
      <c r="I61" s="38"/>
      <c r="J61" s="38"/>
      <c r="K61" s="38"/>
      <c r="L61" s="38"/>
      <c r="M61" s="38"/>
    </row>
    <row r="62" spans="1:13" ht="12.75">
      <c r="A62" s="24"/>
      <c r="I62" s="35">
        <f>+SUM(I59:I61)</f>
        <v>0</v>
      </c>
      <c r="J62" s="35">
        <f>+SUM(J59:J61)</f>
        <v>0</v>
      </c>
      <c r="K62" s="35">
        <f>+SUM(K59:K61)</f>
        <v>0</v>
      </c>
      <c r="L62" s="35">
        <f>+SUM(L59:L61)</f>
        <v>0</v>
      </c>
      <c r="M62" s="35">
        <f>+SUM(M59:M61)</f>
        <v>0</v>
      </c>
    </row>
  </sheetData>
  <sheetProtection/>
  <mergeCells count="5">
    <mergeCell ref="B59:E59"/>
    <mergeCell ref="B60:E60"/>
    <mergeCell ref="A1:M1"/>
    <mergeCell ref="A33:M33"/>
    <mergeCell ref="A55:M55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19" t="s">
        <v>537</v>
      </c>
      <c r="C5" s="20" t="s">
        <v>49</v>
      </c>
      <c r="D5" s="20" t="s">
        <v>91</v>
      </c>
      <c r="E5" s="20" t="s">
        <v>64</v>
      </c>
      <c r="F5" s="33">
        <v>4.3</v>
      </c>
      <c r="G5" s="20">
        <v>2009</v>
      </c>
      <c r="I5" s="31">
        <f aca="true" t="shared" si="0" ref="I5:M14">+IF($G5&gt;=I$3,$F5,0)</f>
        <v>4.3</v>
      </c>
      <c r="J5" s="31">
        <f t="shared" si="0"/>
        <v>4.3</v>
      </c>
      <c r="K5" s="31">
        <f t="shared" si="0"/>
        <v>4.3</v>
      </c>
      <c r="L5" s="31">
        <f t="shared" si="0"/>
        <v>4.3</v>
      </c>
      <c r="M5" s="31">
        <f t="shared" si="0"/>
        <v>4.3</v>
      </c>
    </row>
    <row r="6" spans="1:13" ht="12.75">
      <c r="A6" s="24">
        <v>2</v>
      </c>
      <c r="B6" s="19" t="s">
        <v>511</v>
      </c>
      <c r="C6" s="20" t="s">
        <v>52</v>
      </c>
      <c r="D6" s="20" t="s">
        <v>106</v>
      </c>
      <c r="E6" s="20" t="s">
        <v>64</v>
      </c>
      <c r="F6" s="33">
        <v>3.35</v>
      </c>
      <c r="G6" s="34">
        <v>2009</v>
      </c>
      <c r="I6" s="31">
        <f t="shared" si="0"/>
        <v>3.35</v>
      </c>
      <c r="J6" s="31">
        <f t="shared" si="0"/>
        <v>3.35</v>
      </c>
      <c r="K6" s="31">
        <f t="shared" si="0"/>
        <v>3.35</v>
      </c>
      <c r="L6" s="31">
        <f t="shared" si="0"/>
        <v>3.35</v>
      </c>
      <c r="M6" s="31">
        <f t="shared" si="0"/>
        <v>3.35</v>
      </c>
    </row>
    <row r="7" spans="1:13" ht="12.75">
      <c r="A7" s="24">
        <v>3</v>
      </c>
      <c r="B7" s="19" t="s">
        <v>443</v>
      </c>
      <c r="C7" s="20" t="s">
        <v>48</v>
      </c>
      <c r="D7" s="20" t="s">
        <v>150</v>
      </c>
      <c r="E7" s="26" t="s">
        <v>64</v>
      </c>
      <c r="F7" s="28">
        <v>1.25</v>
      </c>
      <c r="G7" s="32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1.25</v>
      </c>
    </row>
    <row r="8" spans="1:13" ht="12.75">
      <c r="A8" s="24">
        <v>4</v>
      </c>
      <c r="B8" s="19" t="s">
        <v>101</v>
      </c>
      <c r="C8" s="20" t="s">
        <v>49</v>
      </c>
      <c r="D8" s="20" t="s">
        <v>66</v>
      </c>
      <c r="E8" s="26" t="s">
        <v>64</v>
      </c>
      <c r="F8" s="28">
        <v>4.95</v>
      </c>
      <c r="G8" s="32">
        <v>2008</v>
      </c>
      <c r="I8" s="31">
        <f t="shared" si="0"/>
        <v>4.95</v>
      </c>
      <c r="J8" s="31">
        <f t="shared" si="0"/>
        <v>4.95</v>
      </c>
      <c r="K8" s="31">
        <f t="shared" si="0"/>
        <v>4.95</v>
      </c>
      <c r="L8" s="31">
        <f t="shared" si="0"/>
        <v>4.95</v>
      </c>
      <c r="M8" s="31">
        <f t="shared" si="0"/>
        <v>0</v>
      </c>
    </row>
    <row r="9" spans="1:13" ht="12.75">
      <c r="A9" s="24">
        <v>5</v>
      </c>
      <c r="B9" s="25" t="s">
        <v>103</v>
      </c>
      <c r="C9" s="20" t="s">
        <v>49</v>
      </c>
      <c r="D9" s="20" t="s">
        <v>80</v>
      </c>
      <c r="E9" s="26" t="s">
        <v>64</v>
      </c>
      <c r="F9" s="28">
        <v>2</v>
      </c>
      <c r="G9" s="32">
        <v>2008</v>
      </c>
      <c r="I9" s="31">
        <f t="shared" si="0"/>
        <v>2</v>
      </c>
      <c r="J9" s="31">
        <f t="shared" si="0"/>
        <v>2</v>
      </c>
      <c r="K9" s="31">
        <f t="shared" si="0"/>
        <v>2</v>
      </c>
      <c r="L9" s="31">
        <f t="shared" si="0"/>
        <v>2</v>
      </c>
      <c r="M9" s="31">
        <f t="shared" si="0"/>
        <v>0</v>
      </c>
    </row>
    <row r="10" spans="1:13" ht="12.75">
      <c r="A10" s="24">
        <v>6</v>
      </c>
      <c r="B10" s="19" t="s">
        <v>102</v>
      </c>
      <c r="C10" s="20" t="s">
        <v>52</v>
      </c>
      <c r="D10" s="20" t="s">
        <v>82</v>
      </c>
      <c r="E10" s="26" t="s">
        <v>64</v>
      </c>
      <c r="F10" s="28">
        <v>1.1</v>
      </c>
      <c r="G10" s="30">
        <v>2008</v>
      </c>
      <c r="I10" s="31">
        <f t="shared" si="0"/>
        <v>1.1</v>
      </c>
      <c r="J10" s="31">
        <f t="shared" si="0"/>
        <v>1.1</v>
      </c>
      <c r="K10" s="31">
        <f t="shared" si="0"/>
        <v>1.1</v>
      </c>
      <c r="L10" s="31">
        <f t="shared" si="0"/>
        <v>1.1</v>
      </c>
      <c r="M10" s="31">
        <f t="shared" si="0"/>
        <v>0</v>
      </c>
    </row>
    <row r="11" spans="1:13" ht="12.75">
      <c r="A11" s="24">
        <v>7</v>
      </c>
      <c r="B11" s="25" t="s">
        <v>90</v>
      </c>
      <c r="C11" s="20" t="s">
        <v>49</v>
      </c>
      <c r="D11" s="20" t="s">
        <v>91</v>
      </c>
      <c r="E11" s="26" t="s">
        <v>64</v>
      </c>
      <c r="F11" s="28">
        <v>4.45</v>
      </c>
      <c r="G11" s="32">
        <v>2007</v>
      </c>
      <c r="I11" s="31">
        <f t="shared" si="0"/>
        <v>4.45</v>
      </c>
      <c r="J11" s="31">
        <f t="shared" si="0"/>
        <v>4.45</v>
      </c>
      <c r="K11" s="31">
        <f t="shared" si="0"/>
        <v>4.45</v>
      </c>
      <c r="L11" s="31">
        <f t="shared" si="0"/>
        <v>0</v>
      </c>
      <c r="M11" s="31">
        <f t="shared" si="0"/>
        <v>0</v>
      </c>
    </row>
    <row r="12" spans="1:13" ht="12.75">
      <c r="A12" s="24">
        <v>8</v>
      </c>
      <c r="B12" s="19" t="s">
        <v>501</v>
      </c>
      <c r="C12" s="20" t="s">
        <v>50</v>
      </c>
      <c r="D12" s="20" t="s">
        <v>66</v>
      </c>
      <c r="E12" s="20" t="s">
        <v>64</v>
      </c>
      <c r="F12" s="33">
        <v>3.05</v>
      </c>
      <c r="G12" s="34">
        <v>2007</v>
      </c>
      <c r="I12" s="31">
        <f t="shared" si="0"/>
        <v>3.05</v>
      </c>
      <c r="J12" s="31">
        <f t="shared" si="0"/>
        <v>3.05</v>
      </c>
      <c r="K12" s="31">
        <f t="shared" si="0"/>
        <v>3.05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19" t="s">
        <v>105</v>
      </c>
      <c r="C13" s="20" t="s">
        <v>48</v>
      </c>
      <c r="D13" s="20" t="s">
        <v>106</v>
      </c>
      <c r="E13" s="26" t="s">
        <v>64</v>
      </c>
      <c r="F13" s="28">
        <v>19.75</v>
      </c>
      <c r="G13" s="32">
        <v>2006</v>
      </c>
      <c r="I13" s="31">
        <f t="shared" si="0"/>
        <v>19.75</v>
      </c>
      <c r="J13" s="31">
        <f t="shared" si="0"/>
        <v>19.75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19" t="s">
        <v>104</v>
      </c>
      <c r="C14" s="20" t="s">
        <v>47</v>
      </c>
      <c r="D14" s="20" t="s">
        <v>84</v>
      </c>
      <c r="E14" s="26" t="s">
        <v>64</v>
      </c>
      <c r="F14" s="28">
        <v>13.5</v>
      </c>
      <c r="G14" s="32">
        <v>2006</v>
      </c>
      <c r="I14" s="31">
        <f t="shared" si="0"/>
        <v>13.5</v>
      </c>
      <c r="J14" s="31">
        <f t="shared" si="0"/>
        <v>13.5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25" t="s">
        <v>178</v>
      </c>
      <c r="C15" s="20" t="s">
        <v>52</v>
      </c>
      <c r="D15" s="20" t="s">
        <v>169</v>
      </c>
      <c r="E15" s="26" t="s">
        <v>64</v>
      </c>
      <c r="F15" s="28">
        <v>2.95</v>
      </c>
      <c r="G15" s="32">
        <v>2006</v>
      </c>
      <c r="I15" s="31">
        <f aca="true" t="shared" si="1" ref="I15:M29">+IF($G15&gt;=I$3,$F15,0)</f>
        <v>2.95</v>
      </c>
      <c r="J15" s="31">
        <f t="shared" si="1"/>
        <v>2.95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19" t="s">
        <v>381</v>
      </c>
      <c r="C16" s="20" t="s">
        <v>52</v>
      </c>
      <c r="D16" s="20" t="s">
        <v>63</v>
      </c>
      <c r="E16" s="26" t="s">
        <v>64</v>
      </c>
      <c r="F16" s="28">
        <v>2.1</v>
      </c>
      <c r="G16" s="32">
        <v>2006</v>
      </c>
      <c r="I16" s="31">
        <f t="shared" si="1"/>
        <v>2.1</v>
      </c>
      <c r="J16" s="31">
        <f t="shared" si="1"/>
        <v>2.1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19" t="s">
        <v>458</v>
      </c>
      <c r="C17" s="20" t="s">
        <v>48</v>
      </c>
      <c r="D17" s="20" t="s">
        <v>106</v>
      </c>
      <c r="E17" s="26" t="s">
        <v>64</v>
      </c>
      <c r="F17" s="28">
        <v>18.8</v>
      </c>
      <c r="G17" s="32">
        <v>2005</v>
      </c>
      <c r="I17" s="31">
        <f t="shared" si="1"/>
        <v>18.8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221</v>
      </c>
      <c r="C18" s="20" t="s">
        <v>48</v>
      </c>
      <c r="D18" s="20" t="s">
        <v>68</v>
      </c>
      <c r="E18" s="26" t="s">
        <v>64</v>
      </c>
      <c r="F18" s="28">
        <v>16.8</v>
      </c>
      <c r="G18" s="32">
        <v>2005</v>
      </c>
      <c r="I18" s="31">
        <f t="shared" si="1"/>
        <v>16.8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19" t="s">
        <v>457</v>
      </c>
      <c r="C19" s="20" t="s">
        <v>49</v>
      </c>
      <c r="D19" s="20" t="s">
        <v>63</v>
      </c>
      <c r="E19" s="26" t="s">
        <v>64</v>
      </c>
      <c r="F19" s="28">
        <v>15.4</v>
      </c>
      <c r="G19" s="32">
        <v>2005</v>
      </c>
      <c r="I19" s="31">
        <f t="shared" si="1"/>
        <v>15.4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19" t="s">
        <v>403</v>
      </c>
      <c r="C20" s="20" t="s">
        <v>51</v>
      </c>
      <c r="D20" s="20" t="s">
        <v>82</v>
      </c>
      <c r="E20" s="20" t="s">
        <v>402</v>
      </c>
      <c r="F20" s="33">
        <v>3.3</v>
      </c>
      <c r="G20" s="34">
        <v>2005</v>
      </c>
      <c r="I20" s="31">
        <f t="shared" si="1"/>
        <v>3.3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19" t="s">
        <v>710</v>
      </c>
      <c r="C21" s="20" t="s">
        <v>48</v>
      </c>
      <c r="D21" s="20" t="s">
        <v>93</v>
      </c>
      <c r="E21" s="20" t="s">
        <v>64</v>
      </c>
      <c r="F21" s="33">
        <v>1.25</v>
      </c>
      <c r="G21" s="34">
        <v>2005</v>
      </c>
      <c r="I21" s="31">
        <f t="shared" si="1"/>
        <v>1.25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25" t="s">
        <v>492</v>
      </c>
      <c r="C22" s="20" t="s">
        <v>53</v>
      </c>
      <c r="D22" s="20" t="s">
        <v>138</v>
      </c>
      <c r="E22" s="26" t="s">
        <v>64</v>
      </c>
      <c r="F22" s="28">
        <v>1.5</v>
      </c>
      <c r="G22" s="32">
        <v>2005</v>
      </c>
      <c r="I22" s="31">
        <f t="shared" si="1"/>
        <v>1.5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19" t="s">
        <v>357</v>
      </c>
      <c r="C23" s="20" t="s">
        <v>53</v>
      </c>
      <c r="D23" s="20" t="s">
        <v>138</v>
      </c>
      <c r="E23" s="26" t="s">
        <v>64</v>
      </c>
      <c r="F23" s="28">
        <v>1.3</v>
      </c>
      <c r="G23" s="30">
        <v>2005</v>
      </c>
      <c r="I23" s="31">
        <f t="shared" si="1"/>
        <v>1.3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19" t="s">
        <v>154</v>
      </c>
      <c r="C24" s="20" t="s">
        <v>48</v>
      </c>
      <c r="D24" s="20" t="s">
        <v>68</v>
      </c>
      <c r="E24" s="20" t="s">
        <v>64</v>
      </c>
      <c r="F24" s="33">
        <v>1.3</v>
      </c>
      <c r="G24" s="34">
        <v>2005</v>
      </c>
      <c r="I24" s="31">
        <f t="shared" si="1"/>
        <v>1.3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19" t="s">
        <v>626</v>
      </c>
      <c r="C25" s="20" t="s">
        <v>47</v>
      </c>
      <c r="D25" s="20" t="s">
        <v>169</v>
      </c>
      <c r="E25" s="20" t="s">
        <v>64</v>
      </c>
      <c r="F25" s="33">
        <v>1.25</v>
      </c>
      <c r="G25" s="34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19" t="s">
        <v>674</v>
      </c>
      <c r="C26" s="20" t="s">
        <v>51</v>
      </c>
      <c r="D26" s="20" t="s">
        <v>156</v>
      </c>
      <c r="E26" s="26" t="s">
        <v>64</v>
      </c>
      <c r="F26" s="28">
        <v>1.25</v>
      </c>
      <c r="G26" s="32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25" t="s">
        <v>628</v>
      </c>
      <c r="C27" s="20" t="s">
        <v>52</v>
      </c>
      <c r="D27" s="20" t="s">
        <v>156</v>
      </c>
      <c r="E27" s="26" t="s">
        <v>64</v>
      </c>
      <c r="F27" s="28">
        <v>1.25</v>
      </c>
      <c r="G27" s="32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25" t="s">
        <v>703</v>
      </c>
      <c r="C28" s="20" t="s">
        <v>47</v>
      </c>
      <c r="D28" s="20" t="s">
        <v>84</v>
      </c>
      <c r="E28" s="26" t="s">
        <v>64</v>
      </c>
      <c r="F28" s="28">
        <v>1.25</v>
      </c>
      <c r="G28" s="32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19" t="s">
        <v>383</v>
      </c>
      <c r="C29" s="20" t="s">
        <v>47</v>
      </c>
      <c r="D29" s="20" t="s">
        <v>84</v>
      </c>
      <c r="E29" s="26" t="s">
        <v>64</v>
      </c>
      <c r="F29" s="28">
        <v>1.1</v>
      </c>
      <c r="G29" s="32">
        <v>2005</v>
      </c>
      <c r="I29" s="31">
        <f t="shared" si="1"/>
        <v>1.1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9:13" ht="12.75">
      <c r="I31" s="36">
        <f>+SUM(I5:I29)</f>
        <v>128.5</v>
      </c>
      <c r="J31" s="36">
        <f>+SUM(J5:J29)</f>
        <v>62.75000000000001</v>
      </c>
      <c r="K31" s="36">
        <f>+SUM(K5:K29)</f>
        <v>24.450000000000003</v>
      </c>
      <c r="L31" s="36">
        <f>+SUM(L5:L29)</f>
        <v>16.950000000000003</v>
      </c>
      <c r="M31" s="36">
        <f>+SUM(M5:M29)</f>
        <v>8.9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25" t="s">
        <v>174</v>
      </c>
      <c r="C37" s="20" t="s">
        <v>48</v>
      </c>
      <c r="D37" s="20" t="s">
        <v>113</v>
      </c>
      <c r="E37" s="26">
        <v>2005</v>
      </c>
      <c r="F37" s="28">
        <v>2</v>
      </c>
      <c r="G37" s="32">
        <v>2007</v>
      </c>
      <c r="I37" s="31">
        <f aca="true" t="shared" si="2" ref="I37:I48">+CEILING(IF($I$35=E37,F37,IF($I$35&lt;=G37,F37*0.3,0)),0.05)</f>
        <v>2</v>
      </c>
      <c r="J37" s="31">
        <f aca="true" t="shared" si="3" ref="J37:J48">+CEILING(IF($J$35&lt;=G37,F37*0.3,0),0.05)</f>
        <v>0.6000000000000001</v>
      </c>
      <c r="K37" s="31">
        <f aca="true" t="shared" si="4" ref="K37:K48">+CEILING(IF($K$35&lt;=G37,F37*0.3,0),0.05)</f>
        <v>0.6000000000000001</v>
      </c>
      <c r="L37" s="31">
        <f aca="true" t="shared" si="5" ref="L37:L48">+CEILING(IF($L$35&lt;=G37,F37*0.3,0),0.05)</f>
        <v>0</v>
      </c>
      <c r="M37" s="31">
        <f aca="true" t="shared" si="6" ref="M37:M48">CEILING(IF($M$35&lt;=G37,F37*0.3,0),0.05)</f>
        <v>0</v>
      </c>
    </row>
    <row r="38" spans="1:13" ht="12.75">
      <c r="A38" s="24">
        <v>2</v>
      </c>
      <c r="B38" s="19" t="s">
        <v>92</v>
      </c>
      <c r="C38" s="20" t="s">
        <v>47</v>
      </c>
      <c r="D38" s="20" t="s">
        <v>93</v>
      </c>
      <c r="E38" s="20">
        <v>2004</v>
      </c>
      <c r="F38" s="33">
        <v>1.6</v>
      </c>
      <c r="G38" s="34">
        <v>2007</v>
      </c>
      <c r="I38" s="31">
        <f t="shared" si="2"/>
        <v>0.5</v>
      </c>
      <c r="J38" s="31">
        <f t="shared" si="3"/>
        <v>0.5</v>
      </c>
      <c r="K38" s="31">
        <f t="shared" si="4"/>
        <v>0.5</v>
      </c>
      <c r="L38" s="31">
        <f t="shared" si="5"/>
        <v>0</v>
      </c>
      <c r="M38" s="31">
        <f t="shared" si="6"/>
        <v>0</v>
      </c>
    </row>
    <row r="39" spans="1:13" ht="12.75">
      <c r="A39" s="24">
        <v>3</v>
      </c>
      <c r="B39" s="19" t="s">
        <v>94</v>
      </c>
      <c r="C39" s="20" t="s">
        <v>47</v>
      </c>
      <c r="D39" s="20" t="s">
        <v>95</v>
      </c>
      <c r="E39" s="20">
        <v>2004</v>
      </c>
      <c r="F39" s="33">
        <v>1.4</v>
      </c>
      <c r="G39" s="34">
        <v>2007</v>
      </c>
      <c r="I39" s="31">
        <f t="shared" si="2"/>
        <v>0.45</v>
      </c>
      <c r="J39" s="31">
        <f t="shared" si="3"/>
        <v>0.45</v>
      </c>
      <c r="K39" s="31">
        <f t="shared" si="4"/>
        <v>0.45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B40" s="25" t="s">
        <v>96</v>
      </c>
      <c r="C40" s="20" t="s">
        <v>47</v>
      </c>
      <c r="D40" s="20" t="s">
        <v>91</v>
      </c>
      <c r="E40" s="26">
        <v>2005</v>
      </c>
      <c r="F40" s="28">
        <v>1</v>
      </c>
      <c r="G40" s="32">
        <v>2007</v>
      </c>
      <c r="I40" s="31">
        <f t="shared" si="2"/>
        <v>1</v>
      </c>
      <c r="J40" s="31">
        <f t="shared" si="3"/>
        <v>0.30000000000000004</v>
      </c>
      <c r="K40" s="31">
        <f t="shared" si="4"/>
        <v>0.30000000000000004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B41" s="19" t="s">
        <v>375</v>
      </c>
      <c r="C41" s="20" t="s">
        <v>50</v>
      </c>
      <c r="D41" s="20" t="s">
        <v>78</v>
      </c>
      <c r="E41" s="20">
        <v>2005</v>
      </c>
      <c r="F41" s="33">
        <v>1.9</v>
      </c>
      <c r="G41" s="34">
        <v>2006</v>
      </c>
      <c r="I41" s="31">
        <f t="shared" si="2"/>
        <v>1.9000000000000001</v>
      </c>
      <c r="J41" s="31">
        <f t="shared" si="3"/>
        <v>0.6000000000000001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19" t="s">
        <v>358</v>
      </c>
      <c r="C42" s="20" t="s">
        <v>51</v>
      </c>
      <c r="D42" s="20" t="s">
        <v>169</v>
      </c>
      <c r="E42" s="26">
        <v>2005</v>
      </c>
      <c r="F42" s="28">
        <v>1.1</v>
      </c>
      <c r="G42" s="32">
        <v>2006</v>
      </c>
      <c r="I42" s="31">
        <f t="shared" si="2"/>
        <v>1.1</v>
      </c>
      <c r="J42" s="31">
        <f t="shared" si="3"/>
        <v>0.35000000000000003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B43" s="19" t="s">
        <v>97</v>
      </c>
      <c r="C43" s="20" t="s">
        <v>52</v>
      </c>
      <c r="D43" s="20" t="s">
        <v>70</v>
      </c>
      <c r="E43" s="20">
        <v>2005</v>
      </c>
      <c r="F43" s="33">
        <v>1.75</v>
      </c>
      <c r="G43" s="34">
        <v>2005</v>
      </c>
      <c r="I43" s="31">
        <f t="shared" si="2"/>
        <v>1.75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B44" s="19" t="s">
        <v>107</v>
      </c>
      <c r="C44" s="20" t="s">
        <v>49</v>
      </c>
      <c r="D44" s="20" t="s">
        <v>108</v>
      </c>
      <c r="E44" s="20">
        <v>2003</v>
      </c>
      <c r="F44" s="33">
        <v>1.4</v>
      </c>
      <c r="G44" s="34">
        <v>2005</v>
      </c>
      <c r="I44" s="31">
        <f>+CEILING(IF($I$35=E44,F44,IF($I$35&lt;=G44,F44*0.3,0)),0.05)</f>
        <v>0.45</v>
      </c>
      <c r="J44" s="31">
        <f>+CEILING(IF($J$35&lt;=G44,F44*0.3,0),0.05)</f>
        <v>0</v>
      </c>
      <c r="K44" s="31">
        <f>+CEILING(IF($K$35&lt;=G44,F44*0.3,0),0.05)</f>
        <v>0</v>
      </c>
      <c r="L44" s="31">
        <f>+CEILING(IF($L$35&lt;=G44,F44*0.3,0),0.05)</f>
        <v>0</v>
      </c>
      <c r="M44" s="31">
        <f>CEILING(IF($M$35&lt;=G44,F44*0.3,0),0.05)</f>
        <v>0</v>
      </c>
    </row>
    <row r="45" spans="1:13" ht="12.75">
      <c r="A45" s="24">
        <v>9</v>
      </c>
      <c r="B45" s="25" t="s">
        <v>613</v>
      </c>
      <c r="C45" s="20" t="s">
        <v>48</v>
      </c>
      <c r="D45" s="20" t="s">
        <v>156</v>
      </c>
      <c r="E45" s="26">
        <v>2005</v>
      </c>
      <c r="F45" s="28">
        <v>1.25</v>
      </c>
      <c r="G45" s="32">
        <v>2005</v>
      </c>
      <c r="I45" s="31">
        <f>+CEILING(IF($I$35=E45,F45,IF($I$35&lt;=G45,F45*0.3,0)),0.05)</f>
        <v>1.25</v>
      </c>
      <c r="J45" s="31">
        <f>+CEILING(IF($J$35&lt;=G45,F45*0.3,0),0.05)</f>
        <v>0</v>
      </c>
      <c r="K45" s="31">
        <f>+CEILING(IF($K$35&lt;=G45,F45*0.3,0),0.05)</f>
        <v>0</v>
      </c>
      <c r="L45" s="31">
        <f>+CEILING(IF($L$35&lt;=G45,F45*0.3,0),0.05)</f>
        <v>0</v>
      </c>
      <c r="M45" s="31">
        <f>CEILING(IF($M$35&lt;=G45,F45*0.3,0),0.05)</f>
        <v>0</v>
      </c>
    </row>
    <row r="46" spans="1:13" ht="12.75">
      <c r="A46" s="24">
        <v>10</v>
      </c>
      <c r="B46" s="25" t="s">
        <v>589</v>
      </c>
      <c r="C46" s="20" t="s">
        <v>53</v>
      </c>
      <c r="D46" s="20" t="s">
        <v>84</v>
      </c>
      <c r="E46" s="26">
        <v>2005</v>
      </c>
      <c r="F46" s="28">
        <v>1.25</v>
      </c>
      <c r="G46" s="32">
        <v>2005</v>
      </c>
      <c r="I46" s="31">
        <f>+CEILING(IF($I$35=E46,F46,IF($I$35&lt;=G46,F46*0.3,0)),0.05)</f>
        <v>1.25</v>
      </c>
      <c r="J46" s="31">
        <f>+CEILING(IF($J$35&lt;=G46,F46*0.3,0),0.05)</f>
        <v>0</v>
      </c>
      <c r="K46" s="31">
        <f>+CEILING(IF($K$35&lt;=G46,F46*0.3,0),0.05)</f>
        <v>0</v>
      </c>
      <c r="L46" s="31">
        <f>+CEILING(IF($L$35&lt;=G46,F46*0.3,0),0.05)</f>
        <v>0</v>
      </c>
      <c r="M46" s="31">
        <f>CEILING(IF($M$35&lt;=G46,F46*0.3,0),0.05)</f>
        <v>0</v>
      </c>
    </row>
    <row r="47" spans="1:13" ht="12.75">
      <c r="A47" s="24">
        <v>11</v>
      </c>
      <c r="B47" s="25" t="s">
        <v>647</v>
      </c>
      <c r="C47" s="20" t="s">
        <v>48</v>
      </c>
      <c r="D47" s="20" t="s">
        <v>84</v>
      </c>
      <c r="E47" s="26">
        <v>2005</v>
      </c>
      <c r="F47" s="28">
        <v>1.25</v>
      </c>
      <c r="G47" s="32">
        <v>2005</v>
      </c>
      <c r="I47" s="31">
        <f>+CEILING(IF($I$35=E47,F47,IF($I$35&lt;=G47,F47*0.3,0)),0.05)</f>
        <v>1.25</v>
      </c>
      <c r="J47" s="31">
        <f>+CEILING(IF($J$35&lt;=G47,F47*0.3,0),0.05)</f>
        <v>0</v>
      </c>
      <c r="K47" s="31">
        <f>+CEILING(IF($K$35&lt;=G47,F47*0.3,0),0.05)</f>
        <v>0</v>
      </c>
      <c r="L47" s="31">
        <f>+CEILING(IF($L$35&lt;=G47,F47*0.3,0),0.05)</f>
        <v>0</v>
      </c>
      <c r="M47" s="31">
        <f>CEILING(IF($M$35&lt;=G47,F47*0.3,0),0.05)</f>
        <v>0</v>
      </c>
    </row>
    <row r="48" spans="1:13" ht="12.75">
      <c r="A48" s="24">
        <v>12</v>
      </c>
      <c r="B48" s="25"/>
      <c r="D48" s="20"/>
      <c r="E48" s="26"/>
      <c r="F48" s="28"/>
      <c r="G48" s="32"/>
      <c r="I48" s="31">
        <f t="shared" si="2"/>
        <v>0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9:13" ht="7.5" customHeight="1">
      <c r="I49" s="25"/>
      <c r="J49" s="25"/>
      <c r="K49" s="25"/>
      <c r="L49" s="25"/>
      <c r="M49" s="25"/>
    </row>
    <row r="50" spans="9:13" ht="12.75">
      <c r="I50" s="36">
        <f>+SUM(I37:I49)</f>
        <v>12.9</v>
      </c>
      <c r="J50" s="36">
        <f>+SUM(J37:J49)</f>
        <v>2.8000000000000003</v>
      </c>
      <c r="K50" s="36">
        <f>+SUM(K37:K49)</f>
        <v>1.85</v>
      </c>
      <c r="L50" s="36">
        <f>+SUM(L37:L49)</f>
        <v>0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50" t="s">
        <v>87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9:13" ht="7.5" customHeight="1">
      <c r="I53" s="37"/>
      <c r="J53" s="37"/>
      <c r="K53" s="37"/>
      <c r="L53" s="37"/>
      <c r="M53" s="37"/>
    </row>
    <row r="54" spans="1:13" ht="12.75">
      <c r="A54" s="24"/>
      <c r="B54" s="21" t="s">
        <v>88</v>
      </c>
      <c r="C54" s="22"/>
      <c r="D54" s="22"/>
      <c r="E54" s="22"/>
      <c r="F54" s="22" t="s">
        <v>89</v>
      </c>
      <c r="G54" s="22" t="s">
        <v>27</v>
      </c>
      <c r="I54" s="23">
        <f>+I$3</f>
        <v>2005</v>
      </c>
      <c r="J54" s="23">
        <f>+J$3</f>
        <v>2006</v>
      </c>
      <c r="K54" s="23">
        <f>+K$3</f>
        <v>2007</v>
      </c>
      <c r="L54" s="23">
        <f>+L$3</f>
        <v>2008</v>
      </c>
      <c r="M54" s="23">
        <f>+M$3</f>
        <v>2009</v>
      </c>
    </row>
    <row r="55" spans="1:13" ht="7.5" customHeight="1">
      <c r="A55" s="24"/>
      <c r="I55" s="38"/>
      <c r="J55" s="38"/>
      <c r="K55" s="38"/>
      <c r="L55" s="38"/>
      <c r="M55" s="38"/>
    </row>
    <row r="56" spans="1:13" ht="12.75">
      <c r="A56" s="24">
        <v>1</v>
      </c>
      <c r="B56" s="48"/>
      <c r="C56" s="48"/>
      <c r="D56" s="48"/>
      <c r="E56" s="48"/>
      <c r="F56" s="27"/>
      <c r="I56" s="39"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4">
        <v>2</v>
      </c>
      <c r="B57" s="48"/>
      <c r="C57" s="48"/>
      <c r="D57" s="48"/>
      <c r="E57" s="48"/>
      <c r="I57" s="38"/>
      <c r="J57" s="38"/>
      <c r="K57" s="38"/>
      <c r="L57" s="38"/>
      <c r="M57" s="38"/>
    </row>
    <row r="58" spans="1:13" ht="7.5" customHeight="1">
      <c r="A58" s="24"/>
      <c r="I58" s="38"/>
      <c r="J58" s="38"/>
      <c r="K58" s="38"/>
      <c r="L58" s="38"/>
      <c r="M58" s="38"/>
    </row>
    <row r="59" spans="1:13" ht="12.75">
      <c r="A59" s="24"/>
      <c r="I59" s="35">
        <f>+SUM(I56:I58)</f>
        <v>0</v>
      </c>
      <c r="J59" s="35">
        <f>+SUM(J56:J58)</f>
        <v>0</v>
      </c>
      <c r="K59" s="35">
        <f>+SUM(K56:K58)</f>
        <v>0</v>
      </c>
      <c r="L59" s="35">
        <f>+SUM(L56:L58)</f>
        <v>0</v>
      </c>
      <c r="M59" s="35">
        <f>+SUM(M56:M58)</f>
        <v>0</v>
      </c>
    </row>
  </sheetData>
  <sheetProtection/>
  <mergeCells count="5">
    <mergeCell ref="B56:E56"/>
    <mergeCell ref="B57:E57"/>
    <mergeCell ref="A1:M1"/>
    <mergeCell ref="A33:M33"/>
    <mergeCell ref="A52:M52"/>
  </mergeCells>
  <printOptions horizontalCentered="1"/>
  <pageMargins left="0.5" right="0.5" top="0.6" bottom="0.5" header="0.25" footer="0.5"/>
  <pageSetup fitToHeight="1" fitToWidth="1" horizontalDpi="600" verticalDpi="600" orientation="portrait" scale="98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25" t="s">
        <v>519</v>
      </c>
      <c r="C5" s="20" t="s">
        <v>48</v>
      </c>
      <c r="D5" s="20" t="s">
        <v>223</v>
      </c>
      <c r="E5" s="26" t="s">
        <v>64</v>
      </c>
      <c r="F5" s="28">
        <v>7.35</v>
      </c>
      <c r="G5" s="32">
        <v>2009</v>
      </c>
      <c r="I5" s="31">
        <f aca="true" t="shared" si="0" ref="I5:M14">+IF($G5&gt;=I$3,$F5,0)</f>
        <v>7.35</v>
      </c>
      <c r="J5" s="31">
        <f t="shared" si="0"/>
        <v>7.35</v>
      </c>
      <c r="K5" s="31">
        <f t="shared" si="0"/>
        <v>7.35</v>
      </c>
      <c r="L5" s="31">
        <f t="shared" si="0"/>
        <v>7.35</v>
      </c>
      <c r="M5" s="31">
        <f t="shared" si="0"/>
        <v>7.35</v>
      </c>
    </row>
    <row r="6" spans="1:13" ht="12.75">
      <c r="A6" s="24">
        <v>2</v>
      </c>
      <c r="B6" s="25" t="s">
        <v>424</v>
      </c>
      <c r="C6" s="20" t="s">
        <v>49</v>
      </c>
      <c r="D6" s="20" t="s">
        <v>66</v>
      </c>
      <c r="E6" s="26" t="s">
        <v>64</v>
      </c>
      <c r="F6" s="28">
        <v>4.25</v>
      </c>
      <c r="G6" s="32">
        <v>2009</v>
      </c>
      <c r="I6" s="31">
        <f t="shared" si="0"/>
        <v>4.25</v>
      </c>
      <c r="J6" s="31">
        <f t="shared" si="0"/>
        <v>4.25</v>
      </c>
      <c r="K6" s="31">
        <f t="shared" si="0"/>
        <v>4.25</v>
      </c>
      <c r="L6" s="31">
        <f t="shared" si="0"/>
        <v>4.25</v>
      </c>
      <c r="M6" s="31">
        <f t="shared" si="0"/>
        <v>4.25</v>
      </c>
    </row>
    <row r="7" spans="1:13" ht="12.75">
      <c r="A7" s="24">
        <v>3</v>
      </c>
      <c r="B7" s="25" t="s">
        <v>486</v>
      </c>
      <c r="C7" s="20" t="s">
        <v>52</v>
      </c>
      <c r="D7" s="20" t="s">
        <v>78</v>
      </c>
      <c r="E7" s="26" t="s">
        <v>64</v>
      </c>
      <c r="F7" s="28">
        <v>4.2</v>
      </c>
      <c r="G7" s="32">
        <v>2009</v>
      </c>
      <c r="I7" s="31">
        <f t="shared" si="0"/>
        <v>4.2</v>
      </c>
      <c r="J7" s="31">
        <f t="shared" si="0"/>
        <v>4.2</v>
      </c>
      <c r="K7" s="31">
        <f t="shared" si="0"/>
        <v>4.2</v>
      </c>
      <c r="L7" s="31">
        <f t="shared" si="0"/>
        <v>4.2</v>
      </c>
      <c r="M7" s="31">
        <f t="shared" si="0"/>
        <v>4.2</v>
      </c>
    </row>
    <row r="8" spans="1:13" ht="12.75">
      <c r="A8" s="24">
        <v>4</v>
      </c>
      <c r="B8" s="19" t="s">
        <v>528</v>
      </c>
      <c r="C8" s="20" t="s">
        <v>48</v>
      </c>
      <c r="D8" s="20" t="s">
        <v>70</v>
      </c>
      <c r="E8" s="20" t="s">
        <v>64</v>
      </c>
      <c r="F8" s="33">
        <v>4.05</v>
      </c>
      <c r="G8" s="34">
        <v>2009</v>
      </c>
      <c r="I8" s="31">
        <f t="shared" si="0"/>
        <v>4.05</v>
      </c>
      <c r="J8" s="31">
        <f t="shared" si="0"/>
        <v>4.05</v>
      </c>
      <c r="K8" s="31">
        <f t="shared" si="0"/>
        <v>4.05</v>
      </c>
      <c r="L8" s="31">
        <f t="shared" si="0"/>
        <v>4.05</v>
      </c>
      <c r="M8" s="31">
        <f t="shared" si="0"/>
        <v>4.05</v>
      </c>
    </row>
    <row r="9" spans="1:13" ht="12.75">
      <c r="A9" s="24">
        <v>5</v>
      </c>
      <c r="B9" s="25" t="s">
        <v>449</v>
      </c>
      <c r="C9" s="20" t="s">
        <v>48</v>
      </c>
      <c r="D9" s="20" t="s">
        <v>110</v>
      </c>
      <c r="E9" s="26" t="s">
        <v>64</v>
      </c>
      <c r="F9" s="28">
        <v>1.25</v>
      </c>
      <c r="G9" s="32">
        <v>2009</v>
      </c>
      <c r="I9" s="31">
        <f t="shared" si="0"/>
        <v>1.25</v>
      </c>
      <c r="J9" s="31">
        <f t="shared" si="0"/>
        <v>1.25</v>
      </c>
      <c r="K9" s="31">
        <f t="shared" si="0"/>
        <v>1.25</v>
      </c>
      <c r="L9" s="31">
        <f t="shared" si="0"/>
        <v>1.25</v>
      </c>
      <c r="M9" s="31">
        <f t="shared" si="0"/>
        <v>1.25</v>
      </c>
    </row>
    <row r="10" spans="1:13" ht="12.75">
      <c r="A10" s="24">
        <v>6</v>
      </c>
      <c r="B10" s="25" t="s">
        <v>119</v>
      </c>
      <c r="C10" s="20" t="s">
        <v>52</v>
      </c>
      <c r="D10" s="20" t="s">
        <v>108</v>
      </c>
      <c r="E10" s="26" t="s">
        <v>64</v>
      </c>
      <c r="F10" s="28">
        <v>7.2</v>
      </c>
      <c r="G10" s="32">
        <v>2008</v>
      </c>
      <c r="I10" s="31">
        <f t="shared" si="0"/>
        <v>7.2</v>
      </c>
      <c r="J10" s="31">
        <f t="shared" si="0"/>
        <v>7.2</v>
      </c>
      <c r="K10" s="31">
        <f t="shared" si="0"/>
        <v>7.2</v>
      </c>
      <c r="L10" s="31">
        <f t="shared" si="0"/>
        <v>7.2</v>
      </c>
      <c r="M10" s="31">
        <f t="shared" si="0"/>
        <v>0</v>
      </c>
    </row>
    <row r="11" spans="1:13" ht="12.75">
      <c r="A11" s="24">
        <v>7</v>
      </c>
      <c r="B11" s="25" t="s">
        <v>122</v>
      </c>
      <c r="C11" s="20" t="s">
        <v>49</v>
      </c>
      <c r="D11" s="20" t="s">
        <v>118</v>
      </c>
      <c r="E11" s="26" t="s">
        <v>64</v>
      </c>
      <c r="F11" s="28">
        <v>6.5</v>
      </c>
      <c r="G11" s="32">
        <v>2008</v>
      </c>
      <c r="I11" s="31">
        <f t="shared" si="0"/>
        <v>6.5</v>
      </c>
      <c r="J11" s="31">
        <f t="shared" si="0"/>
        <v>6.5</v>
      </c>
      <c r="K11" s="31">
        <f t="shared" si="0"/>
        <v>6.5</v>
      </c>
      <c r="L11" s="31">
        <f t="shared" si="0"/>
        <v>6.5</v>
      </c>
      <c r="M11" s="31">
        <f t="shared" si="0"/>
        <v>0</v>
      </c>
    </row>
    <row r="12" spans="1:13" ht="12.75">
      <c r="A12" s="24">
        <v>8</v>
      </c>
      <c r="B12" s="25" t="s">
        <v>344</v>
      </c>
      <c r="C12" s="20" t="s">
        <v>50</v>
      </c>
      <c r="D12" s="20" t="s">
        <v>76</v>
      </c>
      <c r="E12" s="26" t="s">
        <v>64</v>
      </c>
      <c r="F12" s="28">
        <v>4.7</v>
      </c>
      <c r="G12" s="32">
        <v>2008</v>
      </c>
      <c r="I12" s="31">
        <f t="shared" si="0"/>
        <v>4.7</v>
      </c>
      <c r="J12" s="31">
        <f t="shared" si="0"/>
        <v>4.7</v>
      </c>
      <c r="K12" s="31">
        <f t="shared" si="0"/>
        <v>4.7</v>
      </c>
      <c r="L12" s="31">
        <f t="shared" si="0"/>
        <v>4.7</v>
      </c>
      <c r="M12" s="31">
        <f t="shared" si="0"/>
        <v>0</v>
      </c>
    </row>
    <row r="13" spans="1:13" ht="12.75">
      <c r="A13" s="24">
        <v>9</v>
      </c>
      <c r="B13" s="25" t="s">
        <v>120</v>
      </c>
      <c r="C13" s="20" t="s">
        <v>53</v>
      </c>
      <c r="D13" s="20" t="s">
        <v>91</v>
      </c>
      <c r="E13" s="26" t="s">
        <v>64</v>
      </c>
      <c r="F13" s="28">
        <v>2.9</v>
      </c>
      <c r="G13" s="32">
        <v>2008</v>
      </c>
      <c r="I13" s="31">
        <f t="shared" si="0"/>
        <v>2.9</v>
      </c>
      <c r="J13" s="31">
        <f t="shared" si="0"/>
        <v>2.9</v>
      </c>
      <c r="K13" s="31">
        <f t="shared" si="0"/>
        <v>2.9</v>
      </c>
      <c r="L13" s="31">
        <f t="shared" si="0"/>
        <v>2.9</v>
      </c>
      <c r="M13" s="31">
        <f t="shared" si="0"/>
        <v>0</v>
      </c>
    </row>
    <row r="14" spans="1:13" ht="12.75">
      <c r="A14" s="24">
        <v>10</v>
      </c>
      <c r="B14" s="25" t="s">
        <v>115</v>
      </c>
      <c r="C14" s="20" t="s">
        <v>49</v>
      </c>
      <c r="D14" s="20" t="s">
        <v>116</v>
      </c>
      <c r="E14" s="26" t="s">
        <v>64</v>
      </c>
      <c r="F14" s="28">
        <v>1.95</v>
      </c>
      <c r="G14" s="32">
        <v>2008</v>
      </c>
      <c r="I14" s="31">
        <f t="shared" si="0"/>
        <v>1.95</v>
      </c>
      <c r="J14" s="31">
        <f t="shared" si="0"/>
        <v>1.95</v>
      </c>
      <c r="K14" s="31">
        <f t="shared" si="0"/>
        <v>1.95</v>
      </c>
      <c r="L14" s="31">
        <f t="shared" si="0"/>
        <v>1.95</v>
      </c>
      <c r="M14" s="31">
        <f t="shared" si="0"/>
        <v>0</v>
      </c>
    </row>
    <row r="15" spans="1:13" ht="12.75">
      <c r="A15" s="24">
        <v>11</v>
      </c>
      <c r="B15" s="19" t="s">
        <v>117</v>
      </c>
      <c r="C15" s="20" t="s">
        <v>49</v>
      </c>
      <c r="D15" s="20" t="s">
        <v>118</v>
      </c>
      <c r="E15" s="26" t="s">
        <v>64</v>
      </c>
      <c r="F15" s="28">
        <v>1.1</v>
      </c>
      <c r="G15" s="32">
        <v>2008</v>
      </c>
      <c r="I15" s="31">
        <f aca="true" t="shared" si="1" ref="I15:M29">+IF($G15&gt;=I$3,$F15,0)</f>
        <v>1.1</v>
      </c>
      <c r="J15" s="31">
        <f t="shared" si="1"/>
        <v>1.1</v>
      </c>
      <c r="K15" s="31">
        <f t="shared" si="1"/>
        <v>1.1</v>
      </c>
      <c r="L15" s="31">
        <f t="shared" si="1"/>
        <v>1.1</v>
      </c>
      <c r="M15" s="31">
        <f t="shared" si="1"/>
        <v>0</v>
      </c>
    </row>
    <row r="16" spans="1:13" ht="12.75">
      <c r="A16" s="24">
        <v>12</v>
      </c>
      <c r="B16" s="25" t="s">
        <v>512</v>
      </c>
      <c r="C16" s="20" t="s">
        <v>49</v>
      </c>
      <c r="D16" s="20" t="s">
        <v>82</v>
      </c>
      <c r="E16" s="26" t="s">
        <v>64</v>
      </c>
      <c r="F16" s="28">
        <v>11</v>
      </c>
      <c r="G16" s="32">
        <v>2007</v>
      </c>
      <c r="I16" s="31">
        <f t="shared" si="1"/>
        <v>11</v>
      </c>
      <c r="J16" s="31">
        <f t="shared" si="1"/>
        <v>11</v>
      </c>
      <c r="K16" s="31">
        <f t="shared" si="1"/>
        <v>11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25" t="s">
        <v>109</v>
      </c>
      <c r="C17" s="20" t="s">
        <v>47</v>
      </c>
      <c r="D17" s="20" t="s">
        <v>110</v>
      </c>
      <c r="E17" s="26" t="s">
        <v>64</v>
      </c>
      <c r="F17" s="28">
        <v>7</v>
      </c>
      <c r="G17" s="32">
        <v>2007</v>
      </c>
      <c r="I17" s="31">
        <f t="shared" si="1"/>
        <v>7</v>
      </c>
      <c r="J17" s="31">
        <f t="shared" si="1"/>
        <v>7</v>
      </c>
      <c r="K17" s="31">
        <f t="shared" si="1"/>
        <v>7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529</v>
      </c>
      <c r="C18" s="20" t="s">
        <v>48</v>
      </c>
      <c r="D18" s="20" t="s">
        <v>82</v>
      </c>
      <c r="E18" s="26" t="s">
        <v>64</v>
      </c>
      <c r="F18" s="28">
        <v>21.5</v>
      </c>
      <c r="G18" s="32">
        <v>2006</v>
      </c>
      <c r="I18" s="31">
        <f t="shared" si="1"/>
        <v>21.5</v>
      </c>
      <c r="J18" s="31">
        <f t="shared" si="1"/>
        <v>21.5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25" t="s">
        <v>121</v>
      </c>
      <c r="C19" s="20" t="s">
        <v>52</v>
      </c>
      <c r="D19" s="20" t="s">
        <v>100</v>
      </c>
      <c r="E19" s="26" t="s">
        <v>64</v>
      </c>
      <c r="F19" s="28">
        <v>9.95</v>
      </c>
      <c r="G19" s="32">
        <v>2006</v>
      </c>
      <c r="I19" s="31">
        <f t="shared" si="1"/>
        <v>9.95</v>
      </c>
      <c r="J19" s="31">
        <f t="shared" si="1"/>
        <v>9.95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340</v>
      </c>
      <c r="C20" s="20" t="s">
        <v>53</v>
      </c>
      <c r="D20" s="20" t="s">
        <v>138</v>
      </c>
      <c r="E20" s="26" t="s">
        <v>64</v>
      </c>
      <c r="F20" s="28">
        <v>2.2</v>
      </c>
      <c r="G20" s="32">
        <v>2006</v>
      </c>
      <c r="I20" s="31">
        <f t="shared" si="1"/>
        <v>2.2</v>
      </c>
      <c r="J20" s="31">
        <f t="shared" si="1"/>
        <v>2.2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25" t="s">
        <v>339</v>
      </c>
      <c r="C21" s="20" t="s">
        <v>51</v>
      </c>
      <c r="D21" s="20" t="s">
        <v>100</v>
      </c>
      <c r="E21" s="26" t="s">
        <v>64</v>
      </c>
      <c r="F21" s="28">
        <v>2.15</v>
      </c>
      <c r="G21" s="32">
        <v>2006</v>
      </c>
      <c r="I21" s="31">
        <f t="shared" si="1"/>
        <v>2.15</v>
      </c>
      <c r="J21" s="31">
        <f t="shared" si="1"/>
        <v>2.15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25" t="s">
        <v>114</v>
      </c>
      <c r="C22" s="20" t="s">
        <v>49</v>
      </c>
      <c r="D22" s="20" t="s">
        <v>72</v>
      </c>
      <c r="E22" s="26" t="s">
        <v>64</v>
      </c>
      <c r="F22" s="28">
        <v>2.75</v>
      </c>
      <c r="G22" s="32">
        <v>2005</v>
      </c>
      <c r="I22" s="31">
        <f t="shared" si="1"/>
        <v>2.75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19" t="s">
        <v>712</v>
      </c>
      <c r="C23" s="20" t="s">
        <v>48</v>
      </c>
      <c r="D23" s="20" t="s">
        <v>99</v>
      </c>
      <c r="E23" s="20" t="s">
        <v>64</v>
      </c>
      <c r="F23" s="33">
        <v>1.25</v>
      </c>
      <c r="G23" s="34">
        <v>2005</v>
      </c>
      <c r="I23" s="31">
        <f t="shared" si="1"/>
        <v>1.25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19" t="s">
        <v>707</v>
      </c>
      <c r="C24" s="20" t="s">
        <v>47</v>
      </c>
      <c r="D24" s="20" t="s">
        <v>68</v>
      </c>
      <c r="E24" s="20" t="s">
        <v>64</v>
      </c>
      <c r="F24" s="33">
        <v>1.25</v>
      </c>
      <c r="G24" s="34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19" t="s">
        <v>702</v>
      </c>
      <c r="C25" s="20" t="s">
        <v>47</v>
      </c>
      <c r="D25" s="20" t="s">
        <v>99</v>
      </c>
      <c r="E25" s="20" t="s">
        <v>64</v>
      </c>
      <c r="F25" s="33">
        <v>1.25</v>
      </c>
      <c r="G25" s="34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25" t="s">
        <v>675</v>
      </c>
      <c r="C26" s="20" t="s">
        <v>53</v>
      </c>
      <c r="D26" s="20" t="s">
        <v>106</v>
      </c>
      <c r="E26" s="26" t="s">
        <v>64</v>
      </c>
      <c r="F26" s="28">
        <v>1.25</v>
      </c>
      <c r="G26" s="32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25" t="s">
        <v>638</v>
      </c>
      <c r="C27" s="20" t="s">
        <v>52</v>
      </c>
      <c r="D27" s="20" t="s">
        <v>91</v>
      </c>
      <c r="E27" s="26" t="s">
        <v>64</v>
      </c>
      <c r="F27" s="28">
        <v>1.25</v>
      </c>
      <c r="G27" s="32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593</v>
      </c>
      <c r="C28" s="20" t="s">
        <v>52</v>
      </c>
      <c r="D28" s="20" t="s">
        <v>80</v>
      </c>
      <c r="E28" s="20" t="s">
        <v>64</v>
      </c>
      <c r="F28" s="33">
        <v>1.25</v>
      </c>
      <c r="G28" s="34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19" t="s">
        <v>711</v>
      </c>
      <c r="C29" s="20" t="s">
        <v>52</v>
      </c>
      <c r="D29" s="20" t="s">
        <v>113</v>
      </c>
      <c r="E29" s="20" t="s">
        <v>64</v>
      </c>
      <c r="F29" s="33">
        <v>1.25</v>
      </c>
      <c r="G29" s="34">
        <v>2005</v>
      </c>
      <c r="I29" s="31">
        <f t="shared" si="1"/>
        <v>1.25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9:13" ht="12.75">
      <c r="I31" s="36">
        <f>+SUM(I5:I29)</f>
        <v>110.75000000000001</v>
      </c>
      <c r="J31" s="36">
        <f>+SUM(J5:J29)</f>
        <v>99.25000000000001</v>
      </c>
      <c r="K31" s="36">
        <f>+SUM(K5:K29)</f>
        <v>63.45</v>
      </c>
      <c r="L31" s="36">
        <f>+SUM(L5:L29)</f>
        <v>45.45</v>
      </c>
      <c r="M31" s="36">
        <f>+SUM(M5:M29)</f>
        <v>21.1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19" t="s">
        <v>531</v>
      </c>
      <c r="C37" s="20" t="s">
        <v>47</v>
      </c>
      <c r="D37" s="20" t="s">
        <v>156</v>
      </c>
      <c r="E37" s="20">
        <v>2005</v>
      </c>
      <c r="F37" s="33">
        <v>3.05</v>
      </c>
      <c r="G37" s="34">
        <v>2009</v>
      </c>
      <c r="I37" s="31">
        <f aca="true" t="shared" si="2" ref="I37:I43">+CEILING(IF($I$35=E37,F37,IF($I$35&lt;=G37,F37*0.3,0)),0.05)</f>
        <v>3.0500000000000003</v>
      </c>
      <c r="J37" s="31">
        <f aca="true" t="shared" si="3" ref="J37:J43">+CEILING(IF($J$35&lt;=G37,F37*0.3,0),0.05)</f>
        <v>0.9500000000000001</v>
      </c>
      <c r="K37" s="31">
        <f aca="true" t="shared" si="4" ref="K37:K43">+CEILING(IF($K$35&lt;=G37,F37*0.3,0),0.05)</f>
        <v>0.9500000000000001</v>
      </c>
      <c r="L37" s="31">
        <f aca="true" t="shared" si="5" ref="L37:L43">+CEILING(IF($L$35&lt;=G37,F37*0.3,0),0.05)</f>
        <v>0.9500000000000001</v>
      </c>
      <c r="M37" s="31">
        <f aca="true" t="shared" si="6" ref="M37:M43">CEILING(IF($M$35&lt;=G37,F37*0.3,0),0.05)</f>
        <v>0.9500000000000001</v>
      </c>
    </row>
    <row r="38" spans="1:13" ht="12.75">
      <c r="A38" s="24">
        <v>2</v>
      </c>
      <c r="B38" s="19" t="s">
        <v>107</v>
      </c>
      <c r="C38" s="20" t="s">
        <v>49</v>
      </c>
      <c r="D38" s="20" t="s">
        <v>63</v>
      </c>
      <c r="E38" s="20">
        <v>2005</v>
      </c>
      <c r="F38" s="33">
        <v>1.25</v>
      </c>
      <c r="G38" s="34">
        <v>2009</v>
      </c>
      <c r="I38" s="31">
        <f t="shared" si="2"/>
        <v>1.25</v>
      </c>
      <c r="J38" s="31">
        <f t="shared" si="3"/>
        <v>0.4</v>
      </c>
      <c r="K38" s="31">
        <f t="shared" si="4"/>
        <v>0.4</v>
      </c>
      <c r="L38" s="31">
        <f t="shared" si="5"/>
        <v>0.4</v>
      </c>
      <c r="M38" s="31">
        <f t="shared" si="6"/>
        <v>0.4</v>
      </c>
    </row>
    <row r="39" spans="1:13" ht="12.75">
      <c r="A39" s="24">
        <v>3</v>
      </c>
      <c r="B39" s="19" t="s">
        <v>186</v>
      </c>
      <c r="C39" s="20" t="s">
        <v>48</v>
      </c>
      <c r="D39" s="20" t="s">
        <v>146</v>
      </c>
      <c r="E39" s="20">
        <v>2004</v>
      </c>
      <c r="F39" s="33">
        <v>25.2</v>
      </c>
      <c r="G39" s="34">
        <v>2008</v>
      </c>
      <c r="I39" s="31">
        <f t="shared" si="2"/>
        <v>7.6000000000000005</v>
      </c>
      <c r="J39" s="31">
        <f t="shared" si="3"/>
        <v>7.6000000000000005</v>
      </c>
      <c r="K39" s="31">
        <f t="shared" si="4"/>
        <v>7.6000000000000005</v>
      </c>
      <c r="L39" s="31">
        <f t="shared" si="5"/>
        <v>7.6000000000000005</v>
      </c>
      <c r="M39" s="31">
        <f t="shared" si="6"/>
        <v>0</v>
      </c>
    </row>
    <row r="40" spans="1:13" ht="12.75">
      <c r="A40" s="24">
        <v>4</v>
      </c>
      <c r="B40" s="19" t="s">
        <v>384</v>
      </c>
      <c r="C40" s="20" t="s">
        <v>49</v>
      </c>
      <c r="D40" s="20" t="s">
        <v>146</v>
      </c>
      <c r="E40" s="20">
        <v>2005</v>
      </c>
      <c r="F40" s="33">
        <v>9.95</v>
      </c>
      <c r="G40" s="34">
        <v>2008</v>
      </c>
      <c r="I40" s="31">
        <f t="shared" si="2"/>
        <v>9.950000000000001</v>
      </c>
      <c r="J40" s="31">
        <f t="shared" si="3"/>
        <v>3</v>
      </c>
      <c r="K40" s="31">
        <f t="shared" si="4"/>
        <v>3</v>
      </c>
      <c r="L40" s="31">
        <f t="shared" si="5"/>
        <v>3</v>
      </c>
      <c r="M40" s="31">
        <f t="shared" si="6"/>
        <v>0</v>
      </c>
    </row>
    <row r="41" spans="1:13" ht="12.75">
      <c r="A41" s="24">
        <v>5</v>
      </c>
      <c r="B41" s="19" t="s">
        <v>161</v>
      </c>
      <c r="C41" s="20" t="s">
        <v>48</v>
      </c>
      <c r="D41" s="20" t="s">
        <v>80</v>
      </c>
      <c r="E41" s="20">
        <v>2005</v>
      </c>
      <c r="F41" s="33">
        <v>1.3</v>
      </c>
      <c r="G41" s="34">
        <v>2008</v>
      </c>
      <c r="I41" s="31">
        <f t="shared" si="2"/>
        <v>1.3</v>
      </c>
      <c r="J41" s="31">
        <f t="shared" si="3"/>
        <v>0.4</v>
      </c>
      <c r="K41" s="31">
        <f t="shared" si="4"/>
        <v>0.4</v>
      </c>
      <c r="L41" s="31">
        <f t="shared" si="5"/>
        <v>0.4</v>
      </c>
      <c r="M41" s="31">
        <f t="shared" si="6"/>
        <v>0</v>
      </c>
    </row>
    <row r="42" spans="1:13" ht="12.75">
      <c r="A42" s="24">
        <v>6</v>
      </c>
      <c r="B42" s="25" t="s">
        <v>249</v>
      </c>
      <c r="C42" s="20" t="s">
        <v>49</v>
      </c>
      <c r="D42" s="20" t="s">
        <v>156</v>
      </c>
      <c r="E42" s="26">
        <v>2005</v>
      </c>
      <c r="F42" s="28">
        <v>1.1</v>
      </c>
      <c r="G42" s="32">
        <v>2008</v>
      </c>
      <c r="I42" s="31">
        <f t="shared" si="2"/>
        <v>1.1</v>
      </c>
      <c r="J42" s="31">
        <f t="shared" si="3"/>
        <v>0.35000000000000003</v>
      </c>
      <c r="K42" s="31">
        <f t="shared" si="4"/>
        <v>0.35000000000000003</v>
      </c>
      <c r="L42" s="31">
        <f t="shared" si="5"/>
        <v>0.35000000000000003</v>
      </c>
      <c r="M42" s="31">
        <f t="shared" si="6"/>
        <v>0</v>
      </c>
    </row>
    <row r="43" spans="1:13" ht="12.75">
      <c r="A43" s="24">
        <v>7</v>
      </c>
      <c r="B43" s="19" t="s">
        <v>123</v>
      </c>
      <c r="C43" s="20" t="s">
        <v>53</v>
      </c>
      <c r="D43" s="20" t="s">
        <v>118</v>
      </c>
      <c r="E43" s="20">
        <v>2005</v>
      </c>
      <c r="F43" s="33">
        <v>2.6</v>
      </c>
      <c r="G43" s="34">
        <v>2006</v>
      </c>
      <c r="I43" s="31">
        <f t="shared" si="2"/>
        <v>2.6</v>
      </c>
      <c r="J43" s="31">
        <f t="shared" si="3"/>
        <v>0.8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B44" s="25" t="s">
        <v>148</v>
      </c>
      <c r="C44" s="20" t="s">
        <v>49</v>
      </c>
      <c r="D44" s="20" t="s">
        <v>116</v>
      </c>
      <c r="E44" s="26">
        <v>2005</v>
      </c>
      <c r="F44" s="28">
        <v>2.15</v>
      </c>
      <c r="G44" s="32">
        <v>2006</v>
      </c>
      <c r="I44" s="31">
        <f aca="true" t="shared" si="7" ref="I44:I50">+CEILING(IF($I$35=E44,F44,IF($I$35&lt;=G44,F44*0.3,0)),0.05)</f>
        <v>2.15</v>
      </c>
      <c r="J44" s="31">
        <f aca="true" t="shared" si="8" ref="J44:J50">+CEILING(IF($J$35&lt;=G44,F44*0.3,0),0.05)</f>
        <v>0.65</v>
      </c>
      <c r="K44" s="31">
        <f aca="true" t="shared" si="9" ref="K44:K50">+CEILING(IF($K$35&lt;=G44,F44*0.3,0),0.05)</f>
        <v>0</v>
      </c>
      <c r="L44" s="31">
        <f aca="true" t="shared" si="10" ref="L44:L50">+CEILING(IF($L$35&lt;=G44,F44*0.3,0),0.05)</f>
        <v>0</v>
      </c>
      <c r="M44" s="31">
        <f aca="true" t="shared" si="11" ref="M44:M50">CEILING(IF($M$35&lt;=G44,F44*0.3,0),0.05)</f>
        <v>0</v>
      </c>
    </row>
    <row r="45" spans="1:13" ht="12.75">
      <c r="A45" s="24">
        <v>9</v>
      </c>
      <c r="B45" s="25" t="s">
        <v>112</v>
      </c>
      <c r="C45" s="20" t="s">
        <v>52</v>
      </c>
      <c r="D45" s="20" t="s">
        <v>113</v>
      </c>
      <c r="E45" s="26">
        <v>2004</v>
      </c>
      <c r="F45" s="28">
        <v>3.05</v>
      </c>
      <c r="G45" s="32">
        <v>2005</v>
      </c>
      <c r="I45" s="31">
        <f t="shared" si="7"/>
        <v>0.9500000000000001</v>
      </c>
      <c r="J45" s="31">
        <f t="shared" si="8"/>
        <v>0</v>
      </c>
      <c r="K45" s="31">
        <f t="shared" si="9"/>
        <v>0</v>
      </c>
      <c r="L45" s="31">
        <f t="shared" si="10"/>
        <v>0</v>
      </c>
      <c r="M45" s="31">
        <f t="shared" si="11"/>
        <v>0</v>
      </c>
    </row>
    <row r="46" spans="1:13" ht="12.75">
      <c r="A46" s="24">
        <v>10</v>
      </c>
      <c r="B46" s="25" t="s">
        <v>637</v>
      </c>
      <c r="C46" s="20" t="s">
        <v>51</v>
      </c>
      <c r="D46" s="20" t="s">
        <v>91</v>
      </c>
      <c r="E46" s="26">
        <v>2005</v>
      </c>
      <c r="F46" s="28">
        <v>1.25</v>
      </c>
      <c r="G46" s="32">
        <v>2005</v>
      </c>
      <c r="I46" s="31">
        <f t="shared" si="7"/>
        <v>1.25</v>
      </c>
      <c r="J46" s="31">
        <f t="shared" si="8"/>
        <v>0</v>
      </c>
      <c r="K46" s="31">
        <f t="shared" si="9"/>
        <v>0</v>
      </c>
      <c r="L46" s="31">
        <f t="shared" si="10"/>
        <v>0</v>
      </c>
      <c r="M46" s="31">
        <f t="shared" si="11"/>
        <v>0</v>
      </c>
    </row>
    <row r="47" spans="1:13" ht="12.75">
      <c r="A47" s="24">
        <v>11</v>
      </c>
      <c r="B47" s="19" t="s">
        <v>690</v>
      </c>
      <c r="C47" s="20" t="s">
        <v>50</v>
      </c>
      <c r="D47" s="20" t="s">
        <v>93</v>
      </c>
      <c r="E47" s="20">
        <v>2005</v>
      </c>
      <c r="F47" s="33">
        <v>1.25</v>
      </c>
      <c r="G47" s="34">
        <v>2005</v>
      </c>
      <c r="I47" s="31">
        <f t="shared" si="7"/>
        <v>1.25</v>
      </c>
      <c r="J47" s="31">
        <f t="shared" si="8"/>
        <v>0</v>
      </c>
      <c r="K47" s="31">
        <f t="shared" si="9"/>
        <v>0</v>
      </c>
      <c r="L47" s="31">
        <f t="shared" si="10"/>
        <v>0</v>
      </c>
      <c r="M47" s="31">
        <f t="shared" si="11"/>
        <v>0</v>
      </c>
    </row>
    <row r="48" spans="1:13" ht="12.75">
      <c r="A48" s="24">
        <v>12</v>
      </c>
      <c r="B48" s="25" t="s">
        <v>706</v>
      </c>
      <c r="C48" s="20" t="s">
        <v>47</v>
      </c>
      <c r="D48" s="20" t="s">
        <v>108</v>
      </c>
      <c r="E48" s="26">
        <v>2005</v>
      </c>
      <c r="F48" s="28">
        <v>1.25</v>
      </c>
      <c r="G48" s="32">
        <v>2005</v>
      </c>
      <c r="I48" s="31">
        <f t="shared" si="7"/>
        <v>1.25</v>
      </c>
      <c r="J48" s="31">
        <f t="shared" si="8"/>
        <v>0</v>
      </c>
      <c r="K48" s="31">
        <f t="shared" si="9"/>
        <v>0</v>
      </c>
      <c r="L48" s="31">
        <f t="shared" si="10"/>
        <v>0</v>
      </c>
      <c r="M48" s="31">
        <f t="shared" si="11"/>
        <v>0</v>
      </c>
    </row>
    <row r="49" spans="1:13" ht="12.75">
      <c r="A49" s="24">
        <v>13</v>
      </c>
      <c r="B49" s="25" t="s">
        <v>691</v>
      </c>
      <c r="C49" s="20" t="s">
        <v>48</v>
      </c>
      <c r="D49" s="20" t="s">
        <v>113</v>
      </c>
      <c r="E49" s="26">
        <v>2005</v>
      </c>
      <c r="F49" s="28">
        <v>1.25</v>
      </c>
      <c r="G49" s="32">
        <v>2005</v>
      </c>
      <c r="I49" s="31">
        <f t="shared" si="7"/>
        <v>1.25</v>
      </c>
      <c r="J49" s="31">
        <f t="shared" si="8"/>
        <v>0</v>
      </c>
      <c r="K49" s="31">
        <f t="shared" si="9"/>
        <v>0</v>
      </c>
      <c r="L49" s="31">
        <f t="shared" si="10"/>
        <v>0</v>
      </c>
      <c r="M49" s="31">
        <f t="shared" si="11"/>
        <v>0</v>
      </c>
    </row>
    <row r="50" spans="1:13" ht="12.75">
      <c r="A50" s="24">
        <v>14</v>
      </c>
      <c r="B50" s="19" t="s">
        <v>594</v>
      </c>
      <c r="C50" s="20" t="s">
        <v>52</v>
      </c>
      <c r="D50" s="20" t="s">
        <v>110</v>
      </c>
      <c r="E50" s="20">
        <v>2005</v>
      </c>
      <c r="F50" s="33">
        <v>1.25</v>
      </c>
      <c r="G50" s="34">
        <v>2005</v>
      </c>
      <c r="I50" s="31">
        <f t="shared" si="7"/>
        <v>1.25</v>
      </c>
      <c r="J50" s="31">
        <f t="shared" si="8"/>
        <v>0</v>
      </c>
      <c r="K50" s="31">
        <f t="shared" si="9"/>
        <v>0</v>
      </c>
      <c r="L50" s="31">
        <f t="shared" si="10"/>
        <v>0</v>
      </c>
      <c r="M50" s="31">
        <f t="shared" si="11"/>
        <v>0</v>
      </c>
    </row>
    <row r="51" spans="9:13" ht="7.5" customHeight="1">
      <c r="I51" s="25"/>
      <c r="J51" s="25"/>
      <c r="K51" s="25"/>
      <c r="L51" s="25"/>
      <c r="M51" s="25"/>
    </row>
    <row r="52" spans="9:13" ht="12.75">
      <c r="I52" s="36">
        <f>+SUM(I37:I51)</f>
        <v>36.2</v>
      </c>
      <c r="J52" s="36">
        <f>+SUM(J37:J51)</f>
        <v>14.150000000000002</v>
      </c>
      <c r="K52" s="36">
        <f>+SUM(K37:K51)</f>
        <v>12.700000000000001</v>
      </c>
      <c r="L52" s="36">
        <f>+SUM(L37:L51)</f>
        <v>12.700000000000001</v>
      </c>
      <c r="M52" s="36">
        <f>+SUM(M37:M51)</f>
        <v>1.35</v>
      </c>
    </row>
    <row r="53" spans="9:13" ht="12.75">
      <c r="I53" s="37"/>
      <c r="J53" s="37"/>
      <c r="K53" s="37"/>
      <c r="L53" s="37"/>
      <c r="M53" s="37"/>
    </row>
    <row r="54" spans="1:13" ht="15.75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9:13" ht="7.5" customHeight="1">
      <c r="I55" s="37"/>
      <c r="J55" s="37"/>
      <c r="K55" s="37"/>
      <c r="L55" s="37"/>
      <c r="M55" s="37"/>
    </row>
    <row r="56" spans="1:13" ht="12.75">
      <c r="A56" s="24"/>
      <c r="B56" s="21" t="s">
        <v>88</v>
      </c>
      <c r="C56" s="22"/>
      <c r="D56" s="22"/>
      <c r="E56" s="22"/>
      <c r="F56" s="22" t="s">
        <v>89</v>
      </c>
      <c r="G56" s="22" t="s">
        <v>27</v>
      </c>
      <c r="I56" s="23">
        <f>+I$3</f>
        <v>2005</v>
      </c>
      <c r="J56" s="23">
        <f>+J$3</f>
        <v>2006</v>
      </c>
      <c r="K56" s="23">
        <f>+K$3</f>
        <v>2007</v>
      </c>
      <c r="L56" s="23">
        <f>+L$3</f>
        <v>2008</v>
      </c>
      <c r="M56" s="23">
        <f>+M$3</f>
        <v>2009</v>
      </c>
    </row>
    <row r="57" spans="1:13" ht="7.5" customHeight="1">
      <c r="A57" s="24"/>
      <c r="I57" s="38"/>
      <c r="J57" s="38"/>
      <c r="K57" s="38"/>
      <c r="L57" s="38"/>
      <c r="M57" s="38"/>
    </row>
    <row r="58" spans="1:13" ht="12.75">
      <c r="A58" s="24">
        <v>1</v>
      </c>
      <c r="B58" s="48"/>
      <c r="C58" s="48"/>
      <c r="D58" s="48"/>
      <c r="E58" s="48"/>
      <c r="F58" s="27"/>
      <c r="G58" s="20"/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4">
        <v>2</v>
      </c>
      <c r="B59" s="48"/>
      <c r="C59" s="48"/>
      <c r="D59" s="48"/>
      <c r="E59" s="48"/>
      <c r="I59" s="38"/>
      <c r="J59" s="38"/>
      <c r="K59" s="38"/>
      <c r="L59" s="38"/>
      <c r="M59" s="38"/>
    </row>
    <row r="60" spans="1:13" ht="7.5" customHeight="1">
      <c r="A60" s="24"/>
      <c r="I60" s="38"/>
      <c r="J60" s="38"/>
      <c r="K60" s="38"/>
      <c r="L60" s="38"/>
      <c r="M60" s="38"/>
    </row>
    <row r="61" spans="1:13" ht="12.75">
      <c r="A61" s="24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8:E58"/>
    <mergeCell ref="B59:E59"/>
    <mergeCell ref="A1:M1"/>
    <mergeCell ref="A33:M33"/>
    <mergeCell ref="A54:M54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19" t="s">
        <v>464</v>
      </c>
      <c r="C5" s="20" t="s">
        <v>51</v>
      </c>
      <c r="D5" s="20" t="s">
        <v>106</v>
      </c>
      <c r="E5" s="26" t="s">
        <v>64</v>
      </c>
      <c r="F5" s="28">
        <v>3.35</v>
      </c>
      <c r="G5" s="32">
        <v>2009</v>
      </c>
      <c r="I5" s="31">
        <f aca="true" t="shared" si="0" ref="I5:M14">+IF($G5&gt;=I$3,$F5,0)</f>
        <v>3.35</v>
      </c>
      <c r="J5" s="31">
        <f t="shared" si="0"/>
        <v>3.35</v>
      </c>
      <c r="K5" s="31">
        <f t="shared" si="0"/>
        <v>3.35</v>
      </c>
      <c r="L5" s="31">
        <f t="shared" si="0"/>
        <v>3.35</v>
      </c>
      <c r="M5" s="31">
        <f t="shared" si="0"/>
        <v>3.35</v>
      </c>
    </row>
    <row r="6" spans="1:13" ht="12.75">
      <c r="A6" s="24">
        <v>2</v>
      </c>
      <c r="B6" s="19" t="s">
        <v>430</v>
      </c>
      <c r="C6" s="20" t="s">
        <v>47</v>
      </c>
      <c r="D6" s="20" t="s">
        <v>156</v>
      </c>
      <c r="E6" s="26" t="s">
        <v>64</v>
      </c>
      <c r="F6" s="28">
        <v>2.45</v>
      </c>
      <c r="G6" s="32">
        <v>2009</v>
      </c>
      <c r="I6" s="31">
        <f t="shared" si="0"/>
        <v>2.45</v>
      </c>
      <c r="J6" s="31">
        <f t="shared" si="0"/>
        <v>2.45</v>
      </c>
      <c r="K6" s="31">
        <f t="shared" si="0"/>
        <v>2.45</v>
      </c>
      <c r="L6" s="31">
        <f t="shared" si="0"/>
        <v>2.45</v>
      </c>
      <c r="M6" s="31">
        <f t="shared" si="0"/>
        <v>2.45</v>
      </c>
    </row>
    <row r="7" spans="1:13" ht="12.75">
      <c r="A7" s="24">
        <v>3</v>
      </c>
      <c r="B7" s="19" t="s">
        <v>454</v>
      </c>
      <c r="C7" s="20" t="s">
        <v>49</v>
      </c>
      <c r="D7" s="20" t="s">
        <v>98</v>
      </c>
      <c r="E7" s="20" t="s">
        <v>64</v>
      </c>
      <c r="F7" s="33">
        <v>1.25</v>
      </c>
      <c r="G7" s="34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1.25</v>
      </c>
    </row>
    <row r="8" spans="1:13" ht="12.75">
      <c r="A8" s="24">
        <v>4</v>
      </c>
      <c r="B8" s="19" t="s">
        <v>141</v>
      </c>
      <c r="C8" s="20" t="s">
        <v>48</v>
      </c>
      <c r="D8" s="20" t="s">
        <v>73</v>
      </c>
      <c r="E8" s="20" t="s">
        <v>64</v>
      </c>
      <c r="F8" s="33">
        <v>32.5</v>
      </c>
      <c r="G8" s="34">
        <v>2008</v>
      </c>
      <c r="I8" s="31">
        <f t="shared" si="0"/>
        <v>32.5</v>
      </c>
      <c r="J8" s="31">
        <f t="shared" si="0"/>
        <v>32.5</v>
      </c>
      <c r="K8" s="31">
        <f t="shared" si="0"/>
        <v>32.5</v>
      </c>
      <c r="L8" s="31">
        <f t="shared" si="0"/>
        <v>32.5</v>
      </c>
      <c r="M8" s="31">
        <f t="shared" si="0"/>
        <v>0</v>
      </c>
    </row>
    <row r="9" spans="1:13" ht="12.75">
      <c r="A9" s="24">
        <v>5</v>
      </c>
      <c r="B9" s="25" t="s">
        <v>140</v>
      </c>
      <c r="C9" s="20" t="s">
        <v>49</v>
      </c>
      <c r="D9" s="20" t="s">
        <v>84</v>
      </c>
      <c r="E9" s="26" t="s">
        <v>64</v>
      </c>
      <c r="F9" s="28">
        <v>15.95</v>
      </c>
      <c r="G9" s="30">
        <v>2008</v>
      </c>
      <c r="I9" s="31">
        <f t="shared" si="0"/>
        <v>15.95</v>
      </c>
      <c r="J9" s="31">
        <f t="shared" si="0"/>
        <v>15.95</v>
      </c>
      <c r="K9" s="31">
        <f t="shared" si="0"/>
        <v>15.95</v>
      </c>
      <c r="L9" s="31">
        <f t="shared" si="0"/>
        <v>15.95</v>
      </c>
      <c r="M9" s="31">
        <f t="shared" si="0"/>
        <v>0</v>
      </c>
    </row>
    <row r="10" spans="1:13" ht="12.75">
      <c r="A10" s="24">
        <v>6</v>
      </c>
      <c r="B10" s="19" t="s">
        <v>494</v>
      </c>
      <c r="C10" s="20" t="s">
        <v>52</v>
      </c>
      <c r="D10" s="20" t="s">
        <v>116</v>
      </c>
      <c r="E10" s="20" t="s">
        <v>64</v>
      </c>
      <c r="F10" s="33">
        <v>2.8</v>
      </c>
      <c r="G10" s="20">
        <v>2008</v>
      </c>
      <c r="I10" s="31">
        <f t="shared" si="0"/>
        <v>2.8</v>
      </c>
      <c r="J10" s="31">
        <f t="shared" si="0"/>
        <v>2.8</v>
      </c>
      <c r="K10" s="31">
        <f t="shared" si="0"/>
        <v>2.8</v>
      </c>
      <c r="L10" s="31">
        <f t="shared" si="0"/>
        <v>2.8</v>
      </c>
      <c r="M10" s="31">
        <f t="shared" si="0"/>
        <v>0</v>
      </c>
    </row>
    <row r="11" spans="1:13" ht="12.75">
      <c r="A11" s="24">
        <v>7</v>
      </c>
      <c r="B11" s="19" t="s">
        <v>352</v>
      </c>
      <c r="C11" s="20" t="s">
        <v>49</v>
      </c>
      <c r="D11" s="20" t="s">
        <v>106</v>
      </c>
      <c r="E11" s="20" t="s">
        <v>64</v>
      </c>
      <c r="F11" s="33">
        <v>2.6</v>
      </c>
      <c r="G11" s="34">
        <v>2008</v>
      </c>
      <c r="I11" s="31">
        <f t="shared" si="0"/>
        <v>2.6</v>
      </c>
      <c r="J11" s="31">
        <f t="shared" si="0"/>
        <v>2.6</v>
      </c>
      <c r="K11" s="31">
        <f t="shared" si="0"/>
        <v>2.6</v>
      </c>
      <c r="L11" s="31">
        <f t="shared" si="0"/>
        <v>2.6</v>
      </c>
      <c r="M11" s="31">
        <f t="shared" si="0"/>
        <v>0</v>
      </c>
    </row>
    <row r="12" spans="1:13" ht="12.75">
      <c r="A12" s="24">
        <v>8</v>
      </c>
      <c r="B12" s="25" t="s">
        <v>139</v>
      </c>
      <c r="C12" s="20" t="s">
        <v>49</v>
      </c>
      <c r="D12" s="20" t="s">
        <v>84</v>
      </c>
      <c r="E12" s="26" t="s">
        <v>64</v>
      </c>
      <c r="F12" s="28">
        <v>1.1</v>
      </c>
      <c r="G12" s="32">
        <v>2008</v>
      </c>
      <c r="I12" s="31">
        <f t="shared" si="0"/>
        <v>1.1</v>
      </c>
      <c r="J12" s="31">
        <f t="shared" si="0"/>
        <v>1.1</v>
      </c>
      <c r="K12" s="31">
        <f t="shared" si="0"/>
        <v>1.1</v>
      </c>
      <c r="L12" s="31">
        <f t="shared" si="0"/>
        <v>1.1</v>
      </c>
      <c r="M12" s="31">
        <f t="shared" si="0"/>
        <v>0</v>
      </c>
    </row>
    <row r="13" spans="1:13" ht="12.75">
      <c r="A13" s="24">
        <v>9</v>
      </c>
      <c r="B13" s="19" t="s">
        <v>388</v>
      </c>
      <c r="C13" s="20" t="s">
        <v>48</v>
      </c>
      <c r="D13" s="20" t="s">
        <v>73</v>
      </c>
      <c r="E13" s="26" t="s">
        <v>64</v>
      </c>
      <c r="F13" s="28">
        <v>1.1</v>
      </c>
      <c r="G13" s="32">
        <v>2008</v>
      </c>
      <c r="I13" s="31">
        <f t="shared" si="0"/>
        <v>1.1</v>
      </c>
      <c r="J13" s="31">
        <f t="shared" si="0"/>
        <v>1.1</v>
      </c>
      <c r="K13" s="31">
        <f t="shared" si="0"/>
        <v>1.1</v>
      </c>
      <c r="L13" s="31">
        <f t="shared" si="0"/>
        <v>1.1</v>
      </c>
      <c r="M13" s="31">
        <f t="shared" si="0"/>
        <v>0</v>
      </c>
    </row>
    <row r="14" spans="1:13" ht="12.75">
      <c r="A14" s="24">
        <v>10</v>
      </c>
      <c r="B14" s="25" t="s">
        <v>124</v>
      </c>
      <c r="C14" s="20" t="s">
        <v>52</v>
      </c>
      <c r="D14" s="20" t="s">
        <v>73</v>
      </c>
      <c r="E14" s="26" t="s">
        <v>64</v>
      </c>
      <c r="F14" s="28">
        <v>4.15</v>
      </c>
      <c r="G14" s="32">
        <v>2007</v>
      </c>
      <c r="I14" s="31">
        <f t="shared" si="0"/>
        <v>4.15</v>
      </c>
      <c r="J14" s="31">
        <f t="shared" si="0"/>
        <v>4.15</v>
      </c>
      <c r="K14" s="31">
        <f t="shared" si="0"/>
        <v>4.15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19" t="s">
        <v>466</v>
      </c>
      <c r="C15" s="20" t="s">
        <v>52</v>
      </c>
      <c r="D15" s="20" t="s">
        <v>76</v>
      </c>
      <c r="E15" s="26" t="s">
        <v>64</v>
      </c>
      <c r="F15" s="28">
        <v>3.9</v>
      </c>
      <c r="G15" s="32">
        <v>2007</v>
      </c>
      <c r="I15" s="31">
        <f aca="true" t="shared" si="1" ref="I15:M29">+IF($G15&gt;=I$3,$F15,0)</f>
        <v>3.9</v>
      </c>
      <c r="J15" s="31">
        <f t="shared" si="1"/>
        <v>3.9</v>
      </c>
      <c r="K15" s="31">
        <f t="shared" si="1"/>
        <v>3.9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25" t="s">
        <v>125</v>
      </c>
      <c r="C16" s="20" t="s">
        <v>53</v>
      </c>
      <c r="D16" s="20" t="s">
        <v>82</v>
      </c>
      <c r="E16" s="26" t="s">
        <v>64</v>
      </c>
      <c r="F16" s="28">
        <v>3.1</v>
      </c>
      <c r="G16" s="32">
        <v>2007</v>
      </c>
      <c r="I16" s="31">
        <f t="shared" si="1"/>
        <v>3.1</v>
      </c>
      <c r="J16" s="31">
        <f t="shared" si="1"/>
        <v>3.1</v>
      </c>
      <c r="K16" s="31">
        <f t="shared" si="1"/>
        <v>3.1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25" t="s">
        <v>126</v>
      </c>
      <c r="C17" s="20" t="s">
        <v>50</v>
      </c>
      <c r="D17" s="20" t="s">
        <v>108</v>
      </c>
      <c r="E17" s="26" t="s">
        <v>64</v>
      </c>
      <c r="F17" s="28">
        <v>2.8</v>
      </c>
      <c r="G17" s="32">
        <v>2007</v>
      </c>
      <c r="I17" s="31">
        <f t="shared" si="1"/>
        <v>2.8</v>
      </c>
      <c r="J17" s="31">
        <f t="shared" si="1"/>
        <v>2.8</v>
      </c>
      <c r="K17" s="31">
        <f t="shared" si="1"/>
        <v>2.8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127</v>
      </c>
      <c r="C18" s="20" t="s">
        <v>48</v>
      </c>
      <c r="D18" s="20" t="s">
        <v>128</v>
      </c>
      <c r="E18" s="26" t="s">
        <v>64</v>
      </c>
      <c r="F18" s="28">
        <v>2.5</v>
      </c>
      <c r="G18" s="32">
        <v>2007</v>
      </c>
      <c r="I18" s="31">
        <f t="shared" si="1"/>
        <v>2.5</v>
      </c>
      <c r="J18" s="31">
        <f t="shared" si="1"/>
        <v>2.5</v>
      </c>
      <c r="K18" s="31">
        <f t="shared" si="1"/>
        <v>2.5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25" t="s">
        <v>129</v>
      </c>
      <c r="C19" s="20" t="s">
        <v>47</v>
      </c>
      <c r="D19" s="20" t="s">
        <v>72</v>
      </c>
      <c r="E19" s="26" t="s">
        <v>64</v>
      </c>
      <c r="F19" s="28">
        <v>1.45</v>
      </c>
      <c r="G19" s="32">
        <v>2007</v>
      </c>
      <c r="I19" s="31">
        <f t="shared" si="1"/>
        <v>1.45</v>
      </c>
      <c r="J19" s="31">
        <f t="shared" si="1"/>
        <v>1.45</v>
      </c>
      <c r="K19" s="31">
        <f t="shared" si="1"/>
        <v>1.45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130</v>
      </c>
      <c r="C20" s="20" t="s">
        <v>53</v>
      </c>
      <c r="D20" s="20" t="s">
        <v>76</v>
      </c>
      <c r="E20" s="26" t="s">
        <v>64</v>
      </c>
      <c r="F20" s="28">
        <v>1.4</v>
      </c>
      <c r="G20" s="32">
        <v>2007</v>
      </c>
      <c r="I20" s="31">
        <f t="shared" si="1"/>
        <v>1.4</v>
      </c>
      <c r="J20" s="31">
        <f t="shared" si="1"/>
        <v>1.4</v>
      </c>
      <c r="K20" s="31">
        <f t="shared" si="1"/>
        <v>1.4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25" t="s">
        <v>132</v>
      </c>
      <c r="C21" s="20" t="s">
        <v>53</v>
      </c>
      <c r="D21" s="20" t="s">
        <v>78</v>
      </c>
      <c r="E21" s="26" t="s">
        <v>64</v>
      </c>
      <c r="F21" s="28">
        <v>1</v>
      </c>
      <c r="G21" s="30">
        <v>2007</v>
      </c>
      <c r="I21" s="31">
        <f t="shared" si="1"/>
        <v>1</v>
      </c>
      <c r="J21" s="31">
        <f t="shared" si="1"/>
        <v>1</v>
      </c>
      <c r="K21" s="31">
        <f t="shared" si="1"/>
        <v>1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25" t="s">
        <v>133</v>
      </c>
      <c r="C22" s="20" t="s">
        <v>48</v>
      </c>
      <c r="D22" s="20" t="s">
        <v>70</v>
      </c>
      <c r="E22" s="26" t="s">
        <v>64</v>
      </c>
      <c r="F22" s="28">
        <v>1</v>
      </c>
      <c r="G22" s="32">
        <v>2007</v>
      </c>
      <c r="I22" s="31">
        <f t="shared" si="1"/>
        <v>1</v>
      </c>
      <c r="J22" s="31">
        <f t="shared" si="1"/>
        <v>1</v>
      </c>
      <c r="K22" s="31">
        <f t="shared" si="1"/>
        <v>1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25" t="s">
        <v>135</v>
      </c>
      <c r="C23" s="20" t="s">
        <v>47</v>
      </c>
      <c r="D23" s="20" t="s">
        <v>91</v>
      </c>
      <c r="E23" s="26" t="s">
        <v>64</v>
      </c>
      <c r="F23" s="28">
        <v>12.2</v>
      </c>
      <c r="G23" s="32">
        <v>2005</v>
      </c>
      <c r="I23" s="31">
        <f t="shared" si="1"/>
        <v>12.2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19" t="s">
        <v>524</v>
      </c>
      <c r="C24" s="20" t="s">
        <v>49</v>
      </c>
      <c r="D24" s="20" t="s">
        <v>118</v>
      </c>
      <c r="E24" s="20" t="s">
        <v>64</v>
      </c>
      <c r="F24" s="33">
        <v>10.25</v>
      </c>
      <c r="G24" s="34">
        <v>2005</v>
      </c>
      <c r="I24" s="31">
        <f t="shared" si="1"/>
        <v>10.25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25" t="s">
        <v>136</v>
      </c>
      <c r="C25" s="20" t="s">
        <v>52</v>
      </c>
      <c r="D25" s="20" t="s">
        <v>110</v>
      </c>
      <c r="E25" s="26" t="s">
        <v>64</v>
      </c>
      <c r="F25" s="28">
        <v>4.45</v>
      </c>
      <c r="G25" s="32">
        <v>2005</v>
      </c>
      <c r="I25" s="31">
        <f t="shared" si="1"/>
        <v>4.45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19" t="s">
        <v>363</v>
      </c>
      <c r="C26" s="20" t="s">
        <v>48</v>
      </c>
      <c r="D26" s="20" t="s">
        <v>84</v>
      </c>
      <c r="E26" s="26" t="s">
        <v>64</v>
      </c>
      <c r="F26" s="28">
        <v>3.35</v>
      </c>
      <c r="G26" s="32">
        <v>2005</v>
      </c>
      <c r="I26" s="31">
        <f t="shared" si="1"/>
        <v>3.35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19" t="s">
        <v>607</v>
      </c>
      <c r="C27" s="20" t="s">
        <v>49</v>
      </c>
      <c r="D27" s="20" t="s">
        <v>223</v>
      </c>
      <c r="E27" s="20" t="s">
        <v>64</v>
      </c>
      <c r="F27" s="33">
        <v>1.25</v>
      </c>
      <c r="G27" s="20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137</v>
      </c>
      <c r="C28" s="20" t="s">
        <v>50</v>
      </c>
      <c r="D28" s="20" t="s">
        <v>138</v>
      </c>
      <c r="E28" s="20" t="s">
        <v>64</v>
      </c>
      <c r="F28" s="33">
        <v>1</v>
      </c>
      <c r="G28" s="34">
        <v>2005</v>
      </c>
      <c r="I28" s="31">
        <f t="shared" si="1"/>
        <v>1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D29" s="20"/>
      <c r="E29" s="26"/>
      <c r="F29" s="28"/>
      <c r="G29" s="32"/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2:13" ht="12.75">
      <c r="B31" s="25"/>
      <c r="D31" s="20"/>
      <c r="E31" s="26"/>
      <c r="F31" s="28"/>
      <c r="G31" s="30"/>
      <c r="I31" s="36">
        <f>+SUM(I5:I29)</f>
        <v>116.9</v>
      </c>
      <c r="J31" s="36">
        <f>+SUM(J5:J29)</f>
        <v>84.4</v>
      </c>
      <c r="K31" s="36">
        <f>+SUM(K5:K29)</f>
        <v>84.4</v>
      </c>
      <c r="L31" s="36">
        <f>+SUM(L5:L29)</f>
        <v>63.1</v>
      </c>
      <c r="M31" s="36">
        <f>+SUM(M5:M29)</f>
        <v>7.050000000000001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19" t="s">
        <v>131</v>
      </c>
      <c r="C37" s="20" t="s">
        <v>49</v>
      </c>
      <c r="D37" s="20" t="s">
        <v>70</v>
      </c>
      <c r="E37" s="20">
        <v>2004</v>
      </c>
      <c r="F37" s="33">
        <v>1</v>
      </c>
      <c r="G37" s="20">
        <v>2007</v>
      </c>
      <c r="I37" s="31">
        <f aca="true" t="shared" si="2" ref="I37:I46">+CEILING(IF($I$35=E37,F37,IF($I$35&lt;=G37,F37*0.3,0)),0.05)</f>
        <v>0.30000000000000004</v>
      </c>
      <c r="J37" s="31">
        <f aca="true" t="shared" si="3" ref="J37:J46">+CEILING(IF($J$35&lt;=G37,F37*0.3,0),0.05)</f>
        <v>0.30000000000000004</v>
      </c>
      <c r="K37" s="31">
        <f aca="true" t="shared" si="4" ref="K37:K46">+CEILING(IF($K$35&lt;=G37,F37*0.3,0),0.05)</f>
        <v>0.30000000000000004</v>
      </c>
      <c r="L37" s="31">
        <f aca="true" t="shared" si="5" ref="L37:L46">+CEILING(IF($L$35&lt;=G37,F37*0.3,0),0.05)</f>
        <v>0</v>
      </c>
      <c r="M37" s="31">
        <f aca="true" t="shared" si="6" ref="M37:M46">CEILING(IF($M$35&lt;=G37,F37*0.3,0),0.05)</f>
        <v>0</v>
      </c>
    </row>
    <row r="38" spans="1:13" ht="12.75">
      <c r="A38" s="24">
        <v>2</v>
      </c>
      <c r="B38" s="19" t="s">
        <v>134</v>
      </c>
      <c r="C38" s="20" t="s">
        <v>49</v>
      </c>
      <c r="D38" s="20" t="s">
        <v>118</v>
      </c>
      <c r="E38" s="20">
        <v>2005</v>
      </c>
      <c r="F38" s="33">
        <v>1</v>
      </c>
      <c r="G38" s="20">
        <v>2007</v>
      </c>
      <c r="I38" s="31">
        <f t="shared" si="2"/>
        <v>1</v>
      </c>
      <c r="J38" s="31">
        <f t="shared" si="3"/>
        <v>0.30000000000000004</v>
      </c>
      <c r="K38" s="31">
        <f t="shared" si="4"/>
        <v>0.30000000000000004</v>
      </c>
      <c r="L38" s="31">
        <f t="shared" si="5"/>
        <v>0</v>
      </c>
      <c r="M38" s="31">
        <f t="shared" si="6"/>
        <v>0</v>
      </c>
    </row>
    <row r="39" spans="1:13" ht="12.75">
      <c r="A39" s="24">
        <v>3</v>
      </c>
      <c r="D39" s="20"/>
      <c r="E39" s="20"/>
      <c r="F39" s="33"/>
      <c r="G39" s="20"/>
      <c r="I39" s="31">
        <f t="shared" si="2"/>
        <v>0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B40" s="25"/>
      <c r="D40" s="20"/>
      <c r="E40" s="26"/>
      <c r="F40" s="28"/>
      <c r="G40" s="32"/>
      <c r="I40" s="31">
        <f t="shared" si="2"/>
        <v>0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D41" s="20"/>
      <c r="E41" s="20"/>
      <c r="F41" s="33"/>
      <c r="G41" s="34"/>
      <c r="I41" s="31">
        <f t="shared" si="2"/>
        <v>0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D42" s="20"/>
      <c r="E42" s="20"/>
      <c r="F42" s="33"/>
      <c r="G42" s="34"/>
      <c r="I42" s="31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D43" s="20"/>
      <c r="E43" s="20"/>
      <c r="F43" s="33"/>
      <c r="G43" s="34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D44" s="20"/>
      <c r="E44" s="20"/>
      <c r="F44" s="33"/>
      <c r="G44" s="34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4">
        <v>9</v>
      </c>
      <c r="D45" s="20"/>
      <c r="E45" s="20"/>
      <c r="F45" s="33"/>
      <c r="G45" s="34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4">
        <v>10</v>
      </c>
      <c r="D46" s="20"/>
      <c r="E46" s="20"/>
      <c r="F46" s="33"/>
      <c r="G46" s="20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5"/>
      <c r="J47" s="25"/>
      <c r="K47" s="25"/>
      <c r="L47" s="25"/>
      <c r="M47" s="25"/>
    </row>
    <row r="48" spans="9:13" ht="12.75">
      <c r="I48" s="36">
        <f>+SUM(I37:I47)</f>
        <v>1.3</v>
      </c>
      <c r="J48" s="36">
        <f>+SUM(J37:J47)</f>
        <v>0.6000000000000001</v>
      </c>
      <c r="K48" s="36">
        <f>+SUM(K37:K47)</f>
        <v>0.6000000000000001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0" t="s">
        <v>87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9:13" ht="7.5" customHeight="1">
      <c r="I51" s="37"/>
      <c r="J51" s="37"/>
      <c r="K51" s="37"/>
      <c r="L51" s="37"/>
      <c r="M51" s="37"/>
    </row>
    <row r="52" spans="1:13" ht="12.75">
      <c r="A52" s="24"/>
      <c r="B52" s="21" t="s">
        <v>88</v>
      </c>
      <c r="C52" s="22"/>
      <c r="D52" s="22"/>
      <c r="E52" s="22"/>
      <c r="F52" s="22" t="s">
        <v>89</v>
      </c>
      <c r="G52" s="22" t="s">
        <v>27</v>
      </c>
      <c r="I52" s="23">
        <f>+I$3</f>
        <v>2005</v>
      </c>
      <c r="J52" s="23">
        <f>+J$3</f>
        <v>2006</v>
      </c>
      <c r="K52" s="23">
        <f>+K$3</f>
        <v>2007</v>
      </c>
      <c r="L52" s="23">
        <f>+L$3</f>
        <v>2008</v>
      </c>
      <c r="M52" s="23">
        <f>+M$3</f>
        <v>2009</v>
      </c>
    </row>
    <row r="53" spans="1:13" ht="7.5" customHeight="1">
      <c r="A53" s="24"/>
      <c r="I53" s="38"/>
      <c r="J53" s="38"/>
      <c r="K53" s="38"/>
      <c r="L53" s="38"/>
      <c r="M53" s="38"/>
    </row>
    <row r="54" spans="1:13" ht="12.75">
      <c r="A54" s="24">
        <v>1</v>
      </c>
      <c r="B54" s="48"/>
      <c r="C54" s="48"/>
      <c r="D54" s="48"/>
      <c r="E54" s="48"/>
      <c r="I54" s="38"/>
      <c r="J54" s="38"/>
      <c r="K54" s="38"/>
      <c r="L54" s="38"/>
      <c r="M54" s="38"/>
    </row>
    <row r="55" spans="1:13" ht="12.75">
      <c r="A55" s="24">
        <v>2</v>
      </c>
      <c r="B55" s="48"/>
      <c r="C55" s="48"/>
      <c r="D55" s="48"/>
      <c r="E55" s="48"/>
      <c r="I55" s="38"/>
      <c r="J55" s="38"/>
      <c r="K55" s="38"/>
      <c r="L55" s="38"/>
      <c r="M55" s="38"/>
    </row>
    <row r="56" spans="1:13" ht="7.5" customHeight="1">
      <c r="A56" s="24"/>
      <c r="I56" s="38"/>
      <c r="J56" s="38"/>
      <c r="K56" s="38"/>
      <c r="L56" s="38"/>
      <c r="M56" s="38"/>
    </row>
    <row r="57" spans="1:13" ht="12.75">
      <c r="A57" s="24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4:E54"/>
    <mergeCell ref="B55:E55"/>
    <mergeCell ref="A1:M1"/>
    <mergeCell ref="A33:M33"/>
    <mergeCell ref="A50:M50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13" ht="7.5" customHeight="1">
      <c r="B4" s="21"/>
      <c r="C4" s="23"/>
      <c r="E4" s="23"/>
      <c r="F4" s="23"/>
      <c r="I4" s="40"/>
      <c r="J4" s="40"/>
      <c r="K4" s="40"/>
      <c r="L4" s="40"/>
      <c r="M4" s="40"/>
    </row>
    <row r="5" spans="1:13" ht="12.75">
      <c r="A5" s="24">
        <v>1</v>
      </c>
      <c r="B5" s="25" t="s">
        <v>557</v>
      </c>
      <c r="C5" s="20" t="s">
        <v>50</v>
      </c>
      <c r="D5" s="20" t="s">
        <v>82</v>
      </c>
      <c r="E5" s="26" t="s">
        <v>64</v>
      </c>
      <c r="F5" s="28">
        <v>2.6</v>
      </c>
      <c r="G5" s="32">
        <v>2009</v>
      </c>
      <c r="I5" s="31">
        <f aca="true" t="shared" si="0" ref="I5:M14">+IF($G5&gt;=I$3,$F5,0)</f>
        <v>2.6</v>
      </c>
      <c r="J5" s="31">
        <f t="shared" si="0"/>
        <v>2.6</v>
      </c>
      <c r="K5" s="31">
        <f t="shared" si="0"/>
        <v>2.6</v>
      </c>
      <c r="L5" s="31">
        <f t="shared" si="0"/>
        <v>2.6</v>
      </c>
      <c r="M5" s="31">
        <f t="shared" si="0"/>
        <v>2.6</v>
      </c>
    </row>
    <row r="6" spans="1:13" ht="12.75">
      <c r="A6" s="24">
        <v>2</v>
      </c>
      <c r="B6" s="25" t="s">
        <v>549</v>
      </c>
      <c r="C6" s="20" t="s">
        <v>52</v>
      </c>
      <c r="D6" s="20" t="s">
        <v>138</v>
      </c>
      <c r="E6" s="26" t="s">
        <v>64</v>
      </c>
      <c r="F6" s="28">
        <v>1.75</v>
      </c>
      <c r="G6" s="32">
        <v>2009</v>
      </c>
      <c r="I6" s="31">
        <f t="shared" si="0"/>
        <v>1.75</v>
      </c>
      <c r="J6" s="31">
        <f t="shared" si="0"/>
        <v>1.75</v>
      </c>
      <c r="K6" s="31">
        <f t="shared" si="0"/>
        <v>1.75</v>
      </c>
      <c r="L6" s="31">
        <f t="shared" si="0"/>
        <v>1.75</v>
      </c>
      <c r="M6" s="31">
        <f t="shared" si="0"/>
        <v>1.75</v>
      </c>
    </row>
    <row r="7" spans="1:13" ht="12.75">
      <c r="A7" s="24">
        <v>3</v>
      </c>
      <c r="B7" s="25" t="s">
        <v>441</v>
      </c>
      <c r="C7" s="20" t="s">
        <v>51</v>
      </c>
      <c r="D7" s="20" t="s">
        <v>169</v>
      </c>
      <c r="E7" s="26" t="s">
        <v>64</v>
      </c>
      <c r="F7" s="28">
        <v>1.25</v>
      </c>
      <c r="G7" s="32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1.25</v>
      </c>
    </row>
    <row r="8" spans="1:13" ht="12.75">
      <c r="A8" s="24">
        <v>4</v>
      </c>
      <c r="B8" s="25" t="s">
        <v>186</v>
      </c>
      <c r="C8" s="20" t="s">
        <v>48</v>
      </c>
      <c r="D8" s="20" t="s">
        <v>146</v>
      </c>
      <c r="E8" s="26" t="s">
        <v>64</v>
      </c>
      <c r="F8" s="28">
        <v>15.5</v>
      </c>
      <c r="G8" s="32">
        <v>2008</v>
      </c>
      <c r="I8" s="31">
        <f t="shared" si="0"/>
        <v>15.5</v>
      </c>
      <c r="J8" s="31">
        <f t="shared" si="0"/>
        <v>15.5</v>
      </c>
      <c r="K8" s="31">
        <f t="shared" si="0"/>
        <v>15.5</v>
      </c>
      <c r="L8" s="31">
        <f t="shared" si="0"/>
        <v>15.5</v>
      </c>
      <c r="M8" s="31">
        <f t="shared" si="0"/>
        <v>0</v>
      </c>
    </row>
    <row r="9" spans="1:13" ht="12.75">
      <c r="A9" s="24">
        <v>5</v>
      </c>
      <c r="B9" s="25" t="s">
        <v>360</v>
      </c>
      <c r="C9" s="20" t="s">
        <v>49</v>
      </c>
      <c r="D9" s="20" t="s">
        <v>150</v>
      </c>
      <c r="E9" s="26" t="s">
        <v>64</v>
      </c>
      <c r="F9" s="28">
        <v>7.85</v>
      </c>
      <c r="G9" s="32">
        <v>2008</v>
      </c>
      <c r="I9" s="31">
        <f t="shared" si="0"/>
        <v>7.85</v>
      </c>
      <c r="J9" s="31">
        <f t="shared" si="0"/>
        <v>7.85</v>
      </c>
      <c r="K9" s="31">
        <f t="shared" si="0"/>
        <v>7.85</v>
      </c>
      <c r="L9" s="31">
        <f t="shared" si="0"/>
        <v>7.85</v>
      </c>
      <c r="M9" s="31">
        <f t="shared" si="0"/>
        <v>0</v>
      </c>
    </row>
    <row r="10" spans="1:13" ht="12.75">
      <c r="A10" s="24">
        <v>6</v>
      </c>
      <c r="B10" s="19" t="s">
        <v>387</v>
      </c>
      <c r="C10" s="20" t="s">
        <v>48</v>
      </c>
      <c r="D10" s="20" t="s">
        <v>106</v>
      </c>
      <c r="E10" s="20" t="s">
        <v>64</v>
      </c>
      <c r="F10" s="33">
        <v>1.1</v>
      </c>
      <c r="G10" s="34">
        <v>2008</v>
      </c>
      <c r="I10" s="31">
        <f t="shared" si="0"/>
        <v>1.1</v>
      </c>
      <c r="J10" s="31">
        <f t="shared" si="0"/>
        <v>1.1</v>
      </c>
      <c r="K10" s="31">
        <f t="shared" si="0"/>
        <v>1.1</v>
      </c>
      <c r="L10" s="31">
        <f t="shared" si="0"/>
        <v>1.1</v>
      </c>
      <c r="M10" s="31">
        <f t="shared" si="0"/>
        <v>0</v>
      </c>
    </row>
    <row r="11" spans="1:13" ht="12.75">
      <c r="A11" s="24">
        <v>7</v>
      </c>
      <c r="B11" s="25" t="s">
        <v>386</v>
      </c>
      <c r="C11" s="20" t="s">
        <v>52</v>
      </c>
      <c r="D11" s="20" t="s">
        <v>108</v>
      </c>
      <c r="E11" s="26" t="s">
        <v>64</v>
      </c>
      <c r="F11" s="28">
        <v>1.1</v>
      </c>
      <c r="G11" s="32">
        <v>2008</v>
      </c>
      <c r="I11" s="31">
        <f t="shared" si="0"/>
        <v>1.1</v>
      </c>
      <c r="J11" s="31">
        <f t="shared" si="0"/>
        <v>1.1</v>
      </c>
      <c r="K11" s="31">
        <f t="shared" si="0"/>
        <v>1.1</v>
      </c>
      <c r="L11" s="31">
        <f t="shared" si="0"/>
        <v>1.1</v>
      </c>
      <c r="M11" s="31">
        <f t="shared" si="0"/>
        <v>0</v>
      </c>
    </row>
    <row r="12" spans="1:13" ht="12.75">
      <c r="A12" s="24">
        <v>8</v>
      </c>
      <c r="B12" s="25" t="s">
        <v>143</v>
      </c>
      <c r="C12" s="20" t="s">
        <v>48</v>
      </c>
      <c r="D12" s="20" t="s">
        <v>98</v>
      </c>
      <c r="E12" s="26" t="s">
        <v>64</v>
      </c>
      <c r="F12" s="28">
        <v>6</v>
      </c>
      <c r="G12" s="32">
        <v>2007</v>
      </c>
      <c r="I12" s="31">
        <f t="shared" si="0"/>
        <v>6</v>
      </c>
      <c r="J12" s="31">
        <f t="shared" si="0"/>
        <v>6</v>
      </c>
      <c r="K12" s="31">
        <f t="shared" si="0"/>
        <v>6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19" t="s">
        <v>322</v>
      </c>
      <c r="C13" s="20" t="s">
        <v>47</v>
      </c>
      <c r="D13" s="20" t="s">
        <v>113</v>
      </c>
      <c r="E13" s="20" t="s">
        <v>64</v>
      </c>
      <c r="F13" s="33">
        <v>5.7</v>
      </c>
      <c r="G13" s="34">
        <v>2007</v>
      </c>
      <c r="I13" s="31">
        <f t="shared" si="0"/>
        <v>5.7</v>
      </c>
      <c r="J13" s="31">
        <f t="shared" si="0"/>
        <v>5.7</v>
      </c>
      <c r="K13" s="31">
        <f t="shared" si="0"/>
        <v>5.7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25" t="s">
        <v>239</v>
      </c>
      <c r="C14" s="20" t="s">
        <v>48</v>
      </c>
      <c r="D14" s="20" t="s">
        <v>150</v>
      </c>
      <c r="E14" s="26" t="s">
        <v>64</v>
      </c>
      <c r="F14" s="28">
        <v>5</v>
      </c>
      <c r="G14" s="30">
        <v>2007</v>
      </c>
      <c r="I14" s="31">
        <f t="shared" si="0"/>
        <v>5</v>
      </c>
      <c r="J14" s="31">
        <f t="shared" si="0"/>
        <v>5</v>
      </c>
      <c r="K14" s="31">
        <f t="shared" si="0"/>
        <v>5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25" t="s">
        <v>477</v>
      </c>
      <c r="C15" s="20" t="s">
        <v>53</v>
      </c>
      <c r="D15" s="20" t="s">
        <v>78</v>
      </c>
      <c r="E15" s="26" t="s">
        <v>64</v>
      </c>
      <c r="F15" s="28">
        <v>1.5</v>
      </c>
      <c r="G15" s="32">
        <v>2007</v>
      </c>
      <c r="I15" s="31">
        <f aca="true" t="shared" si="1" ref="I15:M29">+IF($G15&gt;=I$3,$F15,0)</f>
        <v>1.5</v>
      </c>
      <c r="J15" s="31">
        <f t="shared" si="1"/>
        <v>1.5</v>
      </c>
      <c r="K15" s="31">
        <f t="shared" si="1"/>
        <v>1.5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19" t="s">
        <v>327</v>
      </c>
      <c r="C16" s="20" t="s">
        <v>49</v>
      </c>
      <c r="D16" s="20" t="s">
        <v>169</v>
      </c>
      <c r="E16" s="20" t="s">
        <v>64</v>
      </c>
      <c r="F16" s="33">
        <v>1</v>
      </c>
      <c r="G16" s="34">
        <v>2007</v>
      </c>
      <c r="I16" s="31">
        <f t="shared" si="1"/>
        <v>1</v>
      </c>
      <c r="J16" s="31">
        <f t="shared" si="1"/>
        <v>1</v>
      </c>
      <c r="K16" s="31">
        <f t="shared" si="1"/>
        <v>1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19" t="s">
        <v>278</v>
      </c>
      <c r="C17" s="20" t="s">
        <v>49</v>
      </c>
      <c r="D17" s="20" t="s">
        <v>72</v>
      </c>
      <c r="E17" s="26" t="s">
        <v>64</v>
      </c>
      <c r="F17" s="28">
        <v>11.5</v>
      </c>
      <c r="G17" s="32">
        <v>2006</v>
      </c>
      <c r="I17" s="31">
        <f t="shared" si="1"/>
        <v>11.5</v>
      </c>
      <c r="J17" s="31">
        <f t="shared" si="1"/>
        <v>11.5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43" t="s">
        <v>263</v>
      </c>
      <c r="C18" s="20" t="s">
        <v>52</v>
      </c>
      <c r="D18" s="20" t="s">
        <v>72</v>
      </c>
      <c r="E18" s="20" t="s">
        <v>64</v>
      </c>
      <c r="F18" s="33">
        <v>8.1</v>
      </c>
      <c r="G18" s="34">
        <v>2006</v>
      </c>
      <c r="I18" s="31">
        <f t="shared" si="1"/>
        <v>8.1</v>
      </c>
      <c r="J18" s="31">
        <f t="shared" si="1"/>
        <v>8.1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19" t="s">
        <v>277</v>
      </c>
      <c r="C19" s="20" t="s">
        <v>53</v>
      </c>
      <c r="D19" s="20" t="s">
        <v>118</v>
      </c>
      <c r="E19" s="26" t="s">
        <v>64</v>
      </c>
      <c r="F19" s="28">
        <v>4.3</v>
      </c>
      <c r="G19" s="32">
        <v>2006</v>
      </c>
      <c r="I19" s="31">
        <f t="shared" si="1"/>
        <v>4.3</v>
      </c>
      <c r="J19" s="31">
        <f t="shared" si="1"/>
        <v>4.3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385</v>
      </c>
      <c r="C20" s="20" t="s">
        <v>47</v>
      </c>
      <c r="D20" s="20" t="s">
        <v>150</v>
      </c>
      <c r="E20" s="26" t="s">
        <v>64</v>
      </c>
      <c r="F20" s="28">
        <v>1.1</v>
      </c>
      <c r="G20" s="32">
        <v>2006</v>
      </c>
      <c r="I20" s="31">
        <f t="shared" si="1"/>
        <v>1.1</v>
      </c>
      <c r="J20" s="31">
        <f t="shared" si="1"/>
        <v>1.1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25" t="s">
        <v>149</v>
      </c>
      <c r="C21" s="20" t="s">
        <v>52</v>
      </c>
      <c r="D21" s="20" t="s">
        <v>150</v>
      </c>
      <c r="E21" s="26" t="s">
        <v>64</v>
      </c>
      <c r="F21" s="28">
        <v>1</v>
      </c>
      <c r="G21" s="32">
        <v>2006</v>
      </c>
      <c r="I21" s="31">
        <f t="shared" si="1"/>
        <v>1</v>
      </c>
      <c r="J21" s="31">
        <f t="shared" si="1"/>
        <v>1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25" t="s">
        <v>330</v>
      </c>
      <c r="C22" s="20" t="s">
        <v>49</v>
      </c>
      <c r="D22" s="20" t="s">
        <v>106</v>
      </c>
      <c r="E22" s="26" t="s">
        <v>64</v>
      </c>
      <c r="F22" s="28">
        <v>15.4</v>
      </c>
      <c r="G22" s="32">
        <v>2005</v>
      </c>
      <c r="I22" s="31">
        <f t="shared" si="1"/>
        <v>15.4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25" t="s">
        <v>401</v>
      </c>
      <c r="C23" s="20" t="s">
        <v>51</v>
      </c>
      <c r="D23" s="20" t="s">
        <v>99</v>
      </c>
      <c r="E23" s="26" t="s">
        <v>402</v>
      </c>
      <c r="F23" s="28">
        <v>3.3</v>
      </c>
      <c r="G23" s="30">
        <v>2005</v>
      </c>
      <c r="I23" s="31">
        <f t="shared" si="1"/>
        <v>3.3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19" t="s">
        <v>653</v>
      </c>
      <c r="C24" s="20" t="s">
        <v>53</v>
      </c>
      <c r="D24" s="20" t="s">
        <v>110</v>
      </c>
      <c r="E24" s="20" t="s">
        <v>64</v>
      </c>
      <c r="F24" s="33">
        <v>1.25</v>
      </c>
      <c r="G24" s="34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25" t="s">
        <v>639</v>
      </c>
      <c r="C25" s="20" t="s">
        <v>52</v>
      </c>
      <c r="D25" s="20" t="s">
        <v>78</v>
      </c>
      <c r="E25" s="26" t="s">
        <v>64</v>
      </c>
      <c r="F25" s="28">
        <v>1.25</v>
      </c>
      <c r="G25" s="32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25" t="s">
        <v>595</v>
      </c>
      <c r="C26" s="20" t="s">
        <v>48</v>
      </c>
      <c r="D26" s="20" t="s">
        <v>98</v>
      </c>
      <c r="E26" s="26" t="s">
        <v>64</v>
      </c>
      <c r="F26" s="28">
        <v>1.25</v>
      </c>
      <c r="G26" s="32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19" t="s">
        <v>373</v>
      </c>
      <c r="C27" s="20" t="s">
        <v>49</v>
      </c>
      <c r="D27" s="20" t="s">
        <v>99</v>
      </c>
      <c r="E27" s="20" t="s">
        <v>64</v>
      </c>
      <c r="F27" s="33">
        <v>1.25</v>
      </c>
      <c r="G27" s="34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25" t="s">
        <v>667</v>
      </c>
      <c r="C28" s="20" t="s">
        <v>47</v>
      </c>
      <c r="D28" s="20" t="s">
        <v>146</v>
      </c>
      <c r="E28" s="26" t="s">
        <v>64</v>
      </c>
      <c r="F28" s="28">
        <v>1.25</v>
      </c>
      <c r="G28" s="32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25"/>
      <c r="D29" s="20"/>
      <c r="E29" s="26"/>
      <c r="F29" s="28"/>
      <c r="G29" s="32"/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2:13" ht="12.75">
      <c r="B31" s="43"/>
      <c r="D31" s="20"/>
      <c r="E31" s="20"/>
      <c r="F31" s="33"/>
      <c r="G31" s="34"/>
      <c r="I31" s="36">
        <f>+SUM(I5:I29)</f>
        <v>101.3</v>
      </c>
      <c r="J31" s="36">
        <f>+SUM(J5:J29)</f>
        <v>76.35</v>
      </c>
      <c r="K31" s="36">
        <f>+SUM(K5:K29)</f>
        <v>50.35000000000001</v>
      </c>
      <c r="L31" s="36">
        <f>+SUM(L5:L29)</f>
        <v>31.150000000000006</v>
      </c>
      <c r="M31" s="36">
        <f>+SUM(M5:M29)</f>
        <v>5.6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25" t="s">
        <v>346</v>
      </c>
      <c r="C37" s="20" t="s">
        <v>49</v>
      </c>
      <c r="D37" s="20" t="s">
        <v>138</v>
      </c>
      <c r="E37" s="26">
        <v>2005</v>
      </c>
      <c r="F37" s="28">
        <v>8.2</v>
      </c>
      <c r="G37" s="32">
        <v>2008</v>
      </c>
      <c r="I37" s="31">
        <f aca="true" t="shared" si="2" ref="I37:I48">+CEILING(IF($I$35=E37,F37,IF($I$35&lt;=G37,F37*0.3,0)),0.05)</f>
        <v>8.200000000000001</v>
      </c>
      <c r="J37" s="31">
        <f aca="true" t="shared" si="3" ref="J37:J48">+CEILING(IF($J$35&lt;=G37,F37*0.3,0),0.05)</f>
        <v>2.5</v>
      </c>
      <c r="K37" s="31">
        <f aca="true" t="shared" si="4" ref="K37:K48">+CEILING(IF($K$35&lt;=G37,F37*0.3,0),0.05)</f>
        <v>2.5</v>
      </c>
      <c r="L37" s="31">
        <f aca="true" t="shared" si="5" ref="L37:L48">+CEILING(IF($L$35&lt;=G37,F37*0.3,0),0.05)</f>
        <v>2.5</v>
      </c>
      <c r="M37" s="31">
        <f aca="true" t="shared" si="6" ref="M37:M48">CEILING(IF($M$35&lt;=G37,F37*0.3,0),0.05)</f>
        <v>0</v>
      </c>
    </row>
    <row r="38" spans="1:13" ht="12.75">
      <c r="A38" s="24">
        <v>2</v>
      </c>
      <c r="B38" s="25" t="s">
        <v>335</v>
      </c>
      <c r="C38" s="20" t="s">
        <v>50</v>
      </c>
      <c r="D38" s="20" t="s">
        <v>84</v>
      </c>
      <c r="E38" s="26">
        <v>2005</v>
      </c>
      <c r="F38" s="28">
        <v>4.85</v>
      </c>
      <c r="G38" s="32">
        <v>2008</v>
      </c>
      <c r="I38" s="31">
        <f t="shared" si="2"/>
        <v>4.8500000000000005</v>
      </c>
      <c r="J38" s="31">
        <f t="shared" si="3"/>
        <v>1.5</v>
      </c>
      <c r="K38" s="31">
        <f t="shared" si="4"/>
        <v>1.5</v>
      </c>
      <c r="L38" s="31">
        <f t="shared" si="5"/>
        <v>1.5</v>
      </c>
      <c r="M38" s="31">
        <f t="shared" si="6"/>
        <v>0</v>
      </c>
    </row>
    <row r="39" spans="1:13" ht="12.75">
      <c r="A39" s="24">
        <v>3</v>
      </c>
      <c r="B39" s="25" t="s">
        <v>144</v>
      </c>
      <c r="C39" s="20" t="s">
        <v>48</v>
      </c>
      <c r="D39" s="20" t="s">
        <v>99</v>
      </c>
      <c r="E39" s="26">
        <v>2005</v>
      </c>
      <c r="F39" s="28">
        <v>2.75</v>
      </c>
      <c r="G39" s="32">
        <v>2007</v>
      </c>
      <c r="I39" s="31">
        <f t="shared" si="2"/>
        <v>2.75</v>
      </c>
      <c r="J39" s="31">
        <f t="shared" si="3"/>
        <v>0.8500000000000001</v>
      </c>
      <c r="K39" s="31">
        <f t="shared" si="4"/>
        <v>0.8500000000000001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B40" s="43" t="s">
        <v>253</v>
      </c>
      <c r="C40" s="20" t="s">
        <v>49</v>
      </c>
      <c r="D40" s="20" t="s">
        <v>113</v>
      </c>
      <c r="E40" s="20">
        <v>2005</v>
      </c>
      <c r="F40" s="33">
        <v>1.2</v>
      </c>
      <c r="G40" s="34">
        <v>2007</v>
      </c>
      <c r="I40" s="31">
        <f t="shared" si="2"/>
        <v>1.2000000000000002</v>
      </c>
      <c r="J40" s="31">
        <f t="shared" si="3"/>
        <v>0.4</v>
      </c>
      <c r="K40" s="31">
        <f t="shared" si="4"/>
        <v>0.4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B41" s="19" t="s">
        <v>145</v>
      </c>
      <c r="C41" s="20" t="s">
        <v>47</v>
      </c>
      <c r="D41" s="20" t="s">
        <v>146</v>
      </c>
      <c r="E41" s="20">
        <v>2005</v>
      </c>
      <c r="F41" s="33">
        <v>1</v>
      </c>
      <c r="G41" s="34">
        <v>2007</v>
      </c>
      <c r="I41" s="31">
        <f t="shared" si="2"/>
        <v>1</v>
      </c>
      <c r="J41" s="31">
        <f t="shared" si="3"/>
        <v>0.30000000000000004</v>
      </c>
      <c r="K41" s="31">
        <f t="shared" si="4"/>
        <v>0.30000000000000004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B42" s="25" t="s">
        <v>160</v>
      </c>
      <c r="C42" s="20" t="s">
        <v>53</v>
      </c>
      <c r="D42" s="20" t="s">
        <v>150</v>
      </c>
      <c r="E42" s="26">
        <v>2004</v>
      </c>
      <c r="F42" s="28">
        <v>3.85</v>
      </c>
      <c r="G42" s="32">
        <v>2006</v>
      </c>
      <c r="I42" s="31">
        <f t="shared" si="2"/>
        <v>1.2000000000000002</v>
      </c>
      <c r="J42" s="31">
        <f t="shared" si="3"/>
        <v>1.2000000000000002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B43" s="19" t="s">
        <v>159</v>
      </c>
      <c r="C43" s="20" t="s">
        <v>49</v>
      </c>
      <c r="D43" s="20" t="s">
        <v>78</v>
      </c>
      <c r="E43" s="20">
        <v>2004</v>
      </c>
      <c r="F43" s="33">
        <v>1.1</v>
      </c>
      <c r="G43" s="34">
        <v>2006</v>
      </c>
      <c r="I43" s="31">
        <f t="shared" si="2"/>
        <v>0.35000000000000003</v>
      </c>
      <c r="J43" s="31">
        <f t="shared" si="3"/>
        <v>0.35000000000000003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B44" s="25" t="s">
        <v>161</v>
      </c>
      <c r="C44" s="20" t="s">
        <v>48</v>
      </c>
      <c r="D44" s="20" t="s">
        <v>91</v>
      </c>
      <c r="E44" s="26">
        <v>2003</v>
      </c>
      <c r="F44" s="28">
        <v>10.6</v>
      </c>
      <c r="G44" s="32">
        <v>2005</v>
      </c>
      <c r="I44" s="31">
        <f t="shared" si="2"/>
        <v>3.2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4">
        <v>9</v>
      </c>
      <c r="B45" s="25" t="s">
        <v>285</v>
      </c>
      <c r="C45" s="20" t="s">
        <v>52</v>
      </c>
      <c r="D45" s="20" t="s">
        <v>63</v>
      </c>
      <c r="E45" s="26">
        <v>2005</v>
      </c>
      <c r="F45" s="28">
        <v>7.75</v>
      </c>
      <c r="G45" s="32">
        <v>2005</v>
      </c>
      <c r="I45" s="31">
        <f t="shared" si="2"/>
        <v>7.75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4">
        <v>10</v>
      </c>
      <c r="B46" s="19" t="s">
        <v>510</v>
      </c>
      <c r="C46" s="20" t="s">
        <v>53</v>
      </c>
      <c r="D46" s="20" t="s">
        <v>106</v>
      </c>
      <c r="E46" s="20">
        <v>2005</v>
      </c>
      <c r="F46" s="33">
        <v>1.75</v>
      </c>
      <c r="G46" s="34">
        <v>2005</v>
      </c>
      <c r="I46" s="31">
        <f t="shared" si="2"/>
        <v>1.75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1:13" ht="12.75">
      <c r="A47" s="24">
        <v>11</v>
      </c>
      <c r="B47" s="19" t="s">
        <v>584</v>
      </c>
      <c r="C47" s="20" t="s">
        <v>49</v>
      </c>
      <c r="D47" s="20" t="s">
        <v>77</v>
      </c>
      <c r="E47" s="20">
        <v>2005</v>
      </c>
      <c r="F47" s="33">
        <v>1.25</v>
      </c>
      <c r="G47" s="34">
        <v>2005</v>
      </c>
      <c r="I47" s="31">
        <f t="shared" si="2"/>
        <v>1.25</v>
      </c>
      <c r="J47" s="31">
        <f t="shared" si="3"/>
        <v>0</v>
      </c>
      <c r="K47" s="31">
        <f t="shared" si="4"/>
        <v>0</v>
      </c>
      <c r="L47" s="31">
        <f t="shared" si="5"/>
        <v>0</v>
      </c>
      <c r="M47" s="31">
        <f t="shared" si="6"/>
        <v>0</v>
      </c>
    </row>
    <row r="48" spans="1:13" ht="12.75">
      <c r="A48" s="24">
        <v>12</v>
      </c>
      <c r="B48" s="19" t="s">
        <v>155</v>
      </c>
      <c r="C48" s="20" t="s">
        <v>52</v>
      </c>
      <c r="D48" s="20" t="s">
        <v>66</v>
      </c>
      <c r="E48" s="20">
        <v>2004</v>
      </c>
      <c r="F48" s="33">
        <v>1</v>
      </c>
      <c r="G48" s="34">
        <v>2005</v>
      </c>
      <c r="I48" s="31">
        <f t="shared" si="2"/>
        <v>0.30000000000000004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1:13" ht="12.75">
      <c r="A49" s="24">
        <v>13</v>
      </c>
      <c r="B49" s="19" t="s">
        <v>716</v>
      </c>
      <c r="D49" s="20"/>
      <c r="E49" s="20">
        <v>2006</v>
      </c>
      <c r="F49" s="33">
        <v>7.5</v>
      </c>
      <c r="G49" s="34">
        <v>2008</v>
      </c>
      <c r="I49" s="31">
        <f>+F49</f>
        <v>7.5</v>
      </c>
      <c r="J49" s="31">
        <v>0</v>
      </c>
      <c r="K49" s="31">
        <v>0</v>
      </c>
      <c r="L49" s="31">
        <v>0</v>
      </c>
      <c r="M49" s="31">
        <v>0</v>
      </c>
    </row>
    <row r="50" spans="1:13" ht="12.75">
      <c r="A50" s="24">
        <v>14</v>
      </c>
      <c r="B50" s="19" t="s">
        <v>717</v>
      </c>
      <c r="D50" s="20"/>
      <c r="E50" s="20">
        <v>2006</v>
      </c>
      <c r="F50" s="33">
        <v>4.5</v>
      </c>
      <c r="G50" s="34">
        <v>2008</v>
      </c>
      <c r="I50" s="31">
        <f aca="true" t="shared" si="7" ref="I50:I55">+F50</f>
        <v>4.5</v>
      </c>
      <c r="J50" s="31">
        <v>0</v>
      </c>
      <c r="K50" s="31">
        <v>0</v>
      </c>
      <c r="L50" s="31">
        <v>0</v>
      </c>
      <c r="M50" s="31">
        <v>0</v>
      </c>
    </row>
    <row r="51" spans="1:13" ht="12.75">
      <c r="A51" s="24">
        <v>15</v>
      </c>
      <c r="B51" s="19" t="s">
        <v>718</v>
      </c>
      <c r="D51" s="20"/>
      <c r="E51" s="20">
        <v>2006</v>
      </c>
      <c r="F51" s="33">
        <v>1.7</v>
      </c>
      <c r="G51" s="34">
        <v>2007</v>
      </c>
      <c r="I51" s="31">
        <f t="shared" si="7"/>
        <v>1.7</v>
      </c>
      <c r="J51" s="31">
        <v>0</v>
      </c>
      <c r="K51" s="31">
        <v>0</v>
      </c>
      <c r="L51" s="31">
        <v>0</v>
      </c>
      <c r="M51" s="31">
        <v>0</v>
      </c>
    </row>
    <row r="52" spans="1:13" ht="12.75">
      <c r="A52" s="24">
        <v>16</v>
      </c>
      <c r="B52" s="19" t="s">
        <v>719</v>
      </c>
      <c r="D52" s="20"/>
      <c r="E52" s="20">
        <v>2006</v>
      </c>
      <c r="F52" s="33">
        <v>0.8</v>
      </c>
      <c r="G52" s="34">
        <v>2007</v>
      </c>
      <c r="I52" s="31">
        <f t="shared" si="7"/>
        <v>0.8</v>
      </c>
      <c r="J52" s="31">
        <v>0</v>
      </c>
      <c r="K52" s="31">
        <v>0</v>
      </c>
      <c r="L52" s="31">
        <v>0</v>
      </c>
      <c r="M52" s="31">
        <v>0</v>
      </c>
    </row>
    <row r="53" spans="1:13" ht="12.75">
      <c r="A53" s="24">
        <v>17</v>
      </c>
      <c r="B53" s="19" t="s">
        <v>720</v>
      </c>
      <c r="D53" s="20"/>
      <c r="E53" s="20">
        <v>2006</v>
      </c>
      <c r="F53" s="33">
        <v>0.6</v>
      </c>
      <c r="G53" s="34">
        <v>2007</v>
      </c>
      <c r="I53" s="31">
        <f t="shared" si="7"/>
        <v>0.6</v>
      </c>
      <c r="J53" s="31">
        <v>0</v>
      </c>
      <c r="K53" s="31">
        <v>0</v>
      </c>
      <c r="L53" s="31">
        <v>0</v>
      </c>
      <c r="M53" s="31">
        <v>0</v>
      </c>
    </row>
    <row r="54" spans="1:13" ht="12.75">
      <c r="A54" s="24">
        <v>18</v>
      </c>
      <c r="B54" s="19" t="s">
        <v>721</v>
      </c>
      <c r="D54" s="20"/>
      <c r="E54" s="20">
        <v>2006</v>
      </c>
      <c r="F54" s="33">
        <v>1.2</v>
      </c>
      <c r="G54" s="34">
        <v>2006</v>
      </c>
      <c r="I54" s="31">
        <f t="shared" si="7"/>
        <v>1.2</v>
      </c>
      <c r="J54" s="31">
        <v>0</v>
      </c>
      <c r="K54" s="31">
        <v>0</v>
      </c>
      <c r="L54" s="31">
        <v>0</v>
      </c>
      <c r="M54" s="31">
        <v>0</v>
      </c>
    </row>
    <row r="55" spans="1:13" ht="12.75">
      <c r="A55" s="24">
        <v>19</v>
      </c>
      <c r="B55" s="19" t="s">
        <v>722</v>
      </c>
      <c r="D55" s="20"/>
      <c r="E55" s="20">
        <v>2006</v>
      </c>
      <c r="F55" s="33">
        <v>0.35</v>
      </c>
      <c r="G55" s="34">
        <v>2006</v>
      </c>
      <c r="I55" s="31">
        <f t="shared" si="7"/>
        <v>0.35</v>
      </c>
      <c r="J55" s="31">
        <v>0</v>
      </c>
      <c r="K55" s="31">
        <v>0</v>
      </c>
      <c r="L55" s="31">
        <v>0</v>
      </c>
      <c r="M55" s="31">
        <v>0</v>
      </c>
    </row>
    <row r="56" spans="9:13" ht="7.5" customHeight="1">
      <c r="I56" s="25"/>
      <c r="J56" s="25"/>
      <c r="K56" s="25"/>
      <c r="L56" s="25"/>
      <c r="M56" s="25"/>
    </row>
    <row r="57" spans="9:13" ht="12.75">
      <c r="I57" s="36">
        <f>+SUM(I37:I56)</f>
        <v>50.45</v>
      </c>
      <c r="J57" s="36">
        <f>+SUM(J37:J56)</f>
        <v>7.1</v>
      </c>
      <c r="K57" s="36">
        <f>+SUM(K37:K56)</f>
        <v>5.55</v>
      </c>
      <c r="L57" s="36">
        <f>+SUM(L37:L56)</f>
        <v>4</v>
      </c>
      <c r="M57" s="36">
        <f>+SUM(M37:M56)</f>
        <v>0</v>
      </c>
    </row>
    <row r="58" spans="9:13" ht="12.75">
      <c r="I58" s="37"/>
      <c r="J58" s="37"/>
      <c r="K58" s="37"/>
      <c r="L58" s="37"/>
      <c r="M58" s="37"/>
    </row>
    <row r="59" spans="1:13" ht="15.75">
      <c r="A59" s="50" t="s">
        <v>87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9:13" ht="7.5" customHeight="1">
      <c r="I60" s="37"/>
      <c r="J60" s="37"/>
      <c r="K60" s="37"/>
      <c r="L60" s="37"/>
      <c r="M60" s="37"/>
    </row>
    <row r="61" spans="1:13" ht="12.75">
      <c r="A61" s="24"/>
      <c r="B61" s="21" t="s">
        <v>88</v>
      </c>
      <c r="C61" s="22"/>
      <c r="D61" s="22"/>
      <c r="E61" s="22"/>
      <c r="F61" s="22" t="s">
        <v>89</v>
      </c>
      <c r="G61" s="22" t="s">
        <v>27</v>
      </c>
      <c r="I61" s="23">
        <f>+I$3</f>
        <v>2005</v>
      </c>
      <c r="J61" s="23">
        <f>+J$3</f>
        <v>2006</v>
      </c>
      <c r="K61" s="23">
        <f>+K$3</f>
        <v>2007</v>
      </c>
      <c r="L61" s="23">
        <f>+L$3</f>
        <v>2008</v>
      </c>
      <c r="M61" s="23">
        <f>+M$3</f>
        <v>2009</v>
      </c>
    </row>
    <row r="62" spans="1:13" ht="7.5" customHeight="1">
      <c r="A62" s="24"/>
      <c r="I62" s="38"/>
      <c r="J62" s="38"/>
      <c r="K62" s="38"/>
      <c r="L62" s="38"/>
      <c r="M62" s="38"/>
    </row>
    <row r="63" spans="1:13" ht="12.75">
      <c r="A63" s="24">
        <v>1</v>
      </c>
      <c r="B63" s="48" t="s">
        <v>409</v>
      </c>
      <c r="C63" s="48"/>
      <c r="D63" s="48"/>
      <c r="E63" s="48"/>
      <c r="F63" s="27">
        <v>-1.5</v>
      </c>
      <c r="G63" s="20">
        <v>2005</v>
      </c>
      <c r="I63" s="39">
        <f>+F63</f>
        <v>-1.5</v>
      </c>
      <c r="J63" s="39">
        <v>0</v>
      </c>
      <c r="K63" s="39">
        <v>0</v>
      </c>
      <c r="L63" s="39">
        <v>0</v>
      </c>
      <c r="M63" s="39">
        <v>0</v>
      </c>
    </row>
    <row r="64" spans="1:13" ht="12.75">
      <c r="A64" s="24">
        <v>2</v>
      </c>
      <c r="B64" s="48" t="s">
        <v>652</v>
      </c>
      <c r="C64" s="48"/>
      <c r="D64" s="48"/>
      <c r="E64" s="48"/>
      <c r="F64" s="27">
        <v>-8.75</v>
      </c>
      <c r="G64" s="20">
        <v>2005</v>
      </c>
      <c r="I64" s="39">
        <f>+F64</f>
        <v>-8.75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24">
        <v>3</v>
      </c>
      <c r="B65" s="19" t="s">
        <v>665</v>
      </c>
      <c r="C65" s="19"/>
      <c r="F65" s="27">
        <v>8.4</v>
      </c>
      <c r="G65" s="20">
        <v>2005</v>
      </c>
      <c r="I65" s="39">
        <v>8.4</v>
      </c>
      <c r="J65" s="39"/>
      <c r="K65" s="39"/>
      <c r="L65" s="39"/>
      <c r="M65" s="39"/>
    </row>
    <row r="66" spans="1:13" ht="7.5" customHeight="1">
      <c r="A66" s="24"/>
      <c r="I66" s="38"/>
      <c r="J66" s="38"/>
      <c r="K66" s="38"/>
      <c r="L66" s="38"/>
      <c r="M66" s="38"/>
    </row>
    <row r="67" spans="1:13" ht="12.75">
      <c r="A67" s="24"/>
      <c r="I67" s="35">
        <f>+SUM(I63:I66)</f>
        <v>-1.8499999999999996</v>
      </c>
      <c r="J67" s="35">
        <f>+SUM(J63:J66)</f>
        <v>0</v>
      </c>
      <c r="K67" s="35">
        <f>+SUM(K63:K66)</f>
        <v>0</v>
      </c>
      <c r="L67" s="35">
        <f>+SUM(L63:L66)</f>
        <v>0</v>
      </c>
      <c r="M67" s="35">
        <f>+SUM(M63:M66)</f>
        <v>0</v>
      </c>
    </row>
  </sheetData>
  <sheetProtection/>
  <mergeCells count="5">
    <mergeCell ref="B63:E63"/>
    <mergeCell ref="B64:E64"/>
    <mergeCell ref="A1:M1"/>
    <mergeCell ref="A33:M33"/>
    <mergeCell ref="A59:M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Light,Bold"&amp;14Paul Koziol&amp;R&amp;"Copperplate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25" t="s">
        <v>170</v>
      </c>
      <c r="C5" s="20" t="s">
        <v>48</v>
      </c>
      <c r="D5" s="20" t="s">
        <v>66</v>
      </c>
      <c r="E5" s="26" t="s">
        <v>64</v>
      </c>
      <c r="F5" s="28">
        <v>33.75</v>
      </c>
      <c r="G5" s="32">
        <v>2009</v>
      </c>
      <c r="I5" s="31">
        <f aca="true" t="shared" si="0" ref="I5:M14">+IF($G5&gt;=I$3,$F5,0)</f>
        <v>33.75</v>
      </c>
      <c r="J5" s="31">
        <f t="shared" si="0"/>
        <v>33.75</v>
      </c>
      <c r="K5" s="31">
        <f t="shared" si="0"/>
        <v>33.75</v>
      </c>
      <c r="L5" s="31">
        <f t="shared" si="0"/>
        <v>33.75</v>
      </c>
      <c r="M5" s="31">
        <f t="shared" si="0"/>
        <v>33.75</v>
      </c>
    </row>
    <row r="6" spans="1:13" ht="12.75">
      <c r="A6" s="24">
        <v>2</v>
      </c>
      <c r="B6" s="25" t="s">
        <v>416</v>
      </c>
      <c r="C6" s="20" t="s">
        <v>48</v>
      </c>
      <c r="D6" s="20" t="s">
        <v>80</v>
      </c>
      <c r="E6" s="26" t="s">
        <v>64</v>
      </c>
      <c r="F6" s="28">
        <v>7.3</v>
      </c>
      <c r="G6" s="30">
        <v>2009</v>
      </c>
      <c r="I6" s="31">
        <f t="shared" si="0"/>
        <v>7.3</v>
      </c>
      <c r="J6" s="31">
        <f t="shared" si="0"/>
        <v>7.3</v>
      </c>
      <c r="K6" s="31">
        <f t="shared" si="0"/>
        <v>7.3</v>
      </c>
      <c r="L6" s="31">
        <f t="shared" si="0"/>
        <v>7.3</v>
      </c>
      <c r="M6" s="31">
        <f t="shared" si="0"/>
        <v>7.3</v>
      </c>
    </row>
    <row r="7" spans="1:13" ht="12.75">
      <c r="A7" s="24">
        <v>3</v>
      </c>
      <c r="B7" s="25" t="s">
        <v>430</v>
      </c>
      <c r="C7" s="20" t="s">
        <v>50</v>
      </c>
      <c r="D7" s="20" t="s">
        <v>95</v>
      </c>
      <c r="E7" s="26" t="s">
        <v>64</v>
      </c>
      <c r="F7" s="28">
        <v>1.25</v>
      </c>
      <c r="G7" s="32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1.25</v>
      </c>
    </row>
    <row r="8" spans="1:13" ht="12.75">
      <c r="A8" s="24">
        <v>4</v>
      </c>
      <c r="B8" s="25" t="s">
        <v>491</v>
      </c>
      <c r="C8" s="20" t="s">
        <v>53</v>
      </c>
      <c r="D8" s="20" t="s">
        <v>73</v>
      </c>
      <c r="E8" s="26" t="s">
        <v>64</v>
      </c>
      <c r="F8" s="28">
        <v>1.25</v>
      </c>
      <c r="G8" s="32">
        <v>2009</v>
      </c>
      <c r="I8" s="31">
        <f t="shared" si="0"/>
        <v>1.25</v>
      </c>
      <c r="J8" s="31">
        <f t="shared" si="0"/>
        <v>1.25</v>
      </c>
      <c r="K8" s="31">
        <f t="shared" si="0"/>
        <v>1.25</v>
      </c>
      <c r="L8" s="31">
        <f t="shared" si="0"/>
        <v>1.25</v>
      </c>
      <c r="M8" s="31">
        <f t="shared" si="0"/>
        <v>1.25</v>
      </c>
    </row>
    <row r="9" spans="1:13" ht="12.75">
      <c r="A9" s="24">
        <v>5</v>
      </c>
      <c r="B9" s="25" t="s">
        <v>463</v>
      </c>
      <c r="C9" s="20" t="s">
        <v>49</v>
      </c>
      <c r="D9" s="20" t="s">
        <v>138</v>
      </c>
      <c r="E9" s="26" t="s">
        <v>64</v>
      </c>
      <c r="F9" s="28">
        <v>13.15</v>
      </c>
      <c r="G9" s="32">
        <v>2007</v>
      </c>
      <c r="I9" s="31">
        <f t="shared" si="0"/>
        <v>13.15</v>
      </c>
      <c r="J9" s="31">
        <f t="shared" si="0"/>
        <v>13.15</v>
      </c>
      <c r="K9" s="31">
        <f t="shared" si="0"/>
        <v>13.15</v>
      </c>
      <c r="L9" s="31">
        <f t="shared" si="0"/>
        <v>0</v>
      </c>
      <c r="M9" s="31">
        <f t="shared" si="0"/>
        <v>0</v>
      </c>
    </row>
    <row r="10" spans="1:13" ht="12.75">
      <c r="A10" s="24">
        <v>6</v>
      </c>
      <c r="B10" s="25" t="s">
        <v>173</v>
      </c>
      <c r="C10" s="20" t="s">
        <v>49</v>
      </c>
      <c r="D10" s="20" t="s">
        <v>82</v>
      </c>
      <c r="E10" s="26" t="s">
        <v>64</v>
      </c>
      <c r="F10" s="28">
        <v>8.8</v>
      </c>
      <c r="G10" s="32">
        <v>2007</v>
      </c>
      <c r="I10" s="31">
        <f t="shared" si="0"/>
        <v>8.8</v>
      </c>
      <c r="J10" s="31">
        <f t="shared" si="0"/>
        <v>8.8</v>
      </c>
      <c r="K10" s="31">
        <f t="shared" si="0"/>
        <v>8.8</v>
      </c>
      <c r="L10" s="31">
        <f t="shared" si="0"/>
        <v>0</v>
      </c>
      <c r="M10" s="31">
        <f t="shared" si="0"/>
        <v>0</v>
      </c>
    </row>
    <row r="11" spans="1:13" ht="12.75">
      <c r="A11" s="24">
        <v>7</v>
      </c>
      <c r="B11" s="25" t="s">
        <v>162</v>
      </c>
      <c r="C11" s="20" t="s">
        <v>47</v>
      </c>
      <c r="D11" s="20" t="s">
        <v>70</v>
      </c>
      <c r="E11" s="26" t="s">
        <v>64</v>
      </c>
      <c r="F11" s="28">
        <v>1.75</v>
      </c>
      <c r="G11" s="32">
        <v>2007</v>
      </c>
      <c r="I11" s="31">
        <f t="shared" si="0"/>
        <v>1.75</v>
      </c>
      <c r="J11" s="31">
        <f t="shared" si="0"/>
        <v>1.75</v>
      </c>
      <c r="K11" s="31">
        <f t="shared" si="0"/>
        <v>1.75</v>
      </c>
      <c r="L11" s="31">
        <f t="shared" si="0"/>
        <v>0</v>
      </c>
      <c r="M11" s="31">
        <f t="shared" si="0"/>
        <v>0</v>
      </c>
    </row>
    <row r="12" spans="1:13" ht="12.75">
      <c r="A12" s="24">
        <v>8</v>
      </c>
      <c r="B12" s="25" t="s">
        <v>163</v>
      </c>
      <c r="C12" s="20" t="s">
        <v>50</v>
      </c>
      <c r="D12" s="20" t="s">
        <v>113</v>
      </c>
      <c r="E12" s="26" t="s">
        <v>64</v>
      </c>
      <c r="F12" s="28">
        <v>1</v>
      </c>
      <c r="G12" s="32">
        <v>2007</v>
      </c>
      <c r="I12" s="31">
        <f t="shared" si="0"/>
        <v>1</v>
      </c>
      <c r="J12" s="31">
        <f t="shared" si="0"/>
        <v>1</v>
      </c>
      <c r="K12" s="31">
        <f t="shared" si="0"/>
        <v>1</v>
      </c>
      <c r="L12" s="31">
        <f t="shared" si="0"/>
        <v>0</v>
      </c>
      <c r="M12" s="31">
        <f t="shared" si="0"/>
        <v>0</v>
      </c>
    </row>
    <row r="13" spans="1:13" ht="12.75">
      <c r="A13" s="24">
        <v>9</v>
      </c>
      <c r="B13" s="25" t="s">
        <v>165</v>
      </c>
      <c r="C13" s="20" t="s">
        <v>47</v>
      </c>
      <c r="D13" s="20" t="s">
        <v>116</v>
      </c>
      <c r="E13" s="26" t="s">
        <v>64</v>
      </c>
      <c r="F13" s="28">
        <v>29.45</v>
      </c>
      <c r="G13" s="32">
        <v>2006</v>
      </c>
      <c r="I13" s="31">
        <f t="shared" si="0"/>
        <v>29.45</v>
      </c>
      <c r="J13" s="31">
        <f t="shared" si="0"/>
        <v>29.45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25" t="s">
        <v>481</v>
      </c>
      <c r="C14" s="20" t="s">
        <v>50</v>
      </c>
      <c r="D14" s="20" t="s">
        <v>93</v>
      </c>
      <c r="E14" s="26" t="s">
        <v>64</v>
      </c>
      <c r="F14" s="28">
        <v>6</v>
      </c>
      <c r="G14" s="32">
        <v>2005</v>
      </c>
      <c r="I14" s="31">
        <f t="shared" si="0"/>
        <v>6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25" t="s">
        <v>462</v>
      </c>
      <c r="C15" s="20" t="s">
        <v>49</v>
      </c>
      <c r="D15" s="20" t="s">
        <v>116</v>
      </c>
      <c r="E15" s="26" t="s">
        <v>64</v>
      </c>
      <c r="F15" s="28">
        <v>4.25</v>
      </c>
      <c r="G15" s="32">
        <v>2005</v>
      </c>
      <c r="I15" s="31">
        <f aca="true" t="shared" si="1" ref="I15:M29">+IF($G15&gt;=I$3,$F15,0)</f>
        <v>4.25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25" t="s">
        <v>171</v>
      </c>
      <c r="C16" s="20" t="s">
        <v>52</v>
      </c>
      <c r="D16" s="20" t="s">
        <v>150</v>
      </c>
      <c r="E16" s="26" t="s">
        <v>64</v>
      </c>
      <c r="F16" s="28">
        <v>2.75</v>
      </c>
      <c r="G16" s="32">
        <v>2005</v>
      </c>
      <c r="I16" s="31">
        <f t="shared" si="1"/>
        <v>2.75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25" t="s">
        <v>168</v>
      </c>
      <c r="C17" s="20" t="s">
        <v>52</v>
      </c>
      <c r="D17" s="20" t="s">
        <v>116</v>
      </c>
      <c r="E17" s="26" t="s">
        <v>64</v>
      </c>
      <c r="F17" s="28">
        <v>2.1</v>
      </c>
      <c r="G17" s="32">
        <v>2005</v>
      </c>
      <c r="I17" s="31">
        <f t="shared" si="1"/>
        <v>2.1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539</v>
      </c>
      <c r="C18" s="20" t="s">
        <v>52</v>
      </c>
      <c r="D18" s="20" t="s">
        <v>118</v>
      </c>
      <c r="E18" s="26" t="s">
        <v>64</v>
      </c>
      <c r="F18" s="28">
        <v>1.75</v>
      </c>
      <c r="G18" s="32">
        <v>2005</v>
      </c>
      <c r="I18" s="31">
        <f t="shared" si="1"/>
        <v>1.75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19" t="s">
        <v>630</v>
      </c>
      <c r="C19" s="20" t="s">
        <v>52</v>
      </c>
      <c r="D19" s="20" t="s">
        <v>156</v>
      </c>
      <c r="E19" s="20" t="s">
        <v>64</v>
      </c>
      <c r="F19" s="33">
        <v>1.25</v>
      </c>
      <c r="G19" s="34">
        <v>2005</v>
      </c>
      <c r="I19" s="31">
        <f t="shared" si="1"/>
        <v>1.25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650</v>
      </c>
      <c r="C20" s="20" t="s">
        <v>52</v>
      </c>
      <c r="D20" s="20" t="s">
        <v>66</v>
      </c>
      <c r="E20" s="26" t="s">
        <v>64</v>
      </c>
      <c r="F20" s="28">
        <v>1.25</v>
      </c>
      <c r="G20" s="32">
        <v>2005</v>
      </c>
      <c r="I20" s="31">
        <f t="shared" si="1"/>
        <v>1.25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19" t="s">
        <v>508</v>
      </c>
      <c r="C21" s="20" t="s">
        <v>53</v>
      </c>
      <c r="D21" s="20" t="s">
        <v>116</v>
      </c>
      <c r="E21" s="20" t="s">
        <v>64</v>
      </c>
      <c r="F21" s="33">
        <v>1.25</v>
      </c>
      <c r="G21" s="34">
        <v>2005</v>
      </c>
      <c r="I21" s="31">
        <f t="shared" si="1"/>
        <v>1.25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25" t="s">
        <v>573</v>
      </c>
      <c r="C22" s="20" t="s">
        <v>53</v>
      </c>
      <c r="D22" s="20" t="s">
        <v>150</v>
      </c>
      <c r="E22" s="26" t="s">
        <v>64</v>
      </c>
      <c r="F22" s="28">
        <v>1.25</v>
      </c>
      <c r="G22" s="32">
        <v>2005</v>
      </c>
      <c r="I22" s="31">
        <f t="shared" si="1"/>
        <v>1.25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19" t="s">
        <v>599</v>
      </c>
      <c r="C23" s="20" t="s">
        <v>51</v>
      </c>
      <c r="D23" s="20" t="s">
        <v>113</v>
      </c>
      <c r="E23" s="20" t="s">
        <v>64</v>
      </c>
      <c r="F23" s="33">
        <v>1.25</v>
      </c>
      <c r="G23" s="34">
        <v>2005</v>
      </c>
      <c r="I23" s="31">
        <f t="shared" si="1"/>
        <v>1.25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25" t="s">
        <v>190</v>
      </c>
      <c r="C24" s="20" t="s">
        <v>49</v>
      </c>
      <c r="D24" s="20" t="s">
        <v>150</v>
      </c>
      <c r="E24" s="26" t="s">
        <v>64</v>
      </c>
      <c r="F24" s="28">
        <v>1.25</v>
      </c>
      <c r="G24" s="32">
        <v>2005</v>
      </c>
      <c r="I24" s="31">
        <f t="shared" si="1"/>
        <v>1.25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19" t="s">
        <v>600</v>
      </c>
      <c r="C25" s="20" t="s">
        <v>51</v>
      </c>
      <c r="D25" s="20" t="s">
        <v>116</v>
      </c>
      <c r="E25" s="20" t="s">
        <v>64</v>
      </c>
      <c r="F25" s="33">
        <v>1.25</v>
      </c>
      <c r="G25" s="34">
        <v>2005</v>
      </c>
      <c r="I25" s="31">
        <f t="shared" si="1"/>
        <v>1.25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19" t="s">
        <v>605</v>
      </c>
      <c r="C26" s="20" t="s">
        <v>49</v>
      </c>
      <c r="D26" s="20" t="s">
        <v>108</v>
      </c>
      <c r="E26" s="20" t="s">
        <v>64</v>
      </c>
      <c r="F26" s="33">
        <v>1.25</v>
      </c>
      <c r="G26" s="34">
        <v>2005</v>
      </c>
      <c r="I26" s="31">
        <f t="shared" si="1"/>
        <v>1.25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19" t="s">
        <v>201</v>
      </c>
      <c r="C27" s="20" t="s">
        <v>48</v>
      </c>
      <c r="D27" s="20" t="s">
        <v>73</v>
      </c>
      <c r="E27" s="20" t="s">
        <v>64</v>
      </c>
      <c r="F27" s="33">
        <v>1.25</v>
      </c>
      <c r="G27" s="34">
        <v>2005</v>
      </c>
      <c r="I27" s="31">
        <f t="shared" si="1"/>
        <v>1.25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19" t="s">
        <v>623</v>
      </c>
      <c r="C28" s="20" t="s">
        <v>47</v>
      </c>
      <c r="D28" s="20" t="s">
        <v>169</v>
      </c>
      <c r="E28" s="20" t="s">
        <v>64</v>
      </c>
      <c r="F28" s="33">
        <v>1.25</v>
      </c>
      <c r="G28" s="34">
        <v>2005</v>
      </c>
      <c r="I28" s="31">
        <f t="shared" si="1"/>
        <v>1.25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19" t="s">
        <v>629</v>
      </c>
      <c r="C29" s="20" t="s">
        <v>52</v>
      </c>
      <c r="D29" s="20" t="s">
        <v>156</v>
      </c>
      <c r="E29" s="20" t="s">
        <v>64</v>
      </c>
      <c r="F29" s="33">
        <v>1.25</v>
      </c>
      <c r="G29" s="34">
        <v>2005</v>
      </c>
      <c r="I29" s="31">
        <f t="shared" si="1"/>
        <v>1.25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2:13" ht="12.75">
      <c r="B31" s="25"/>
      <c r="D31" s="20"/>
      <c r="E31" s="26"/>
      <c r="F31" s="28"/>
      <c r="G31" s="32"/>
      <c r="I31" s="36">
        <f>+SUM(I5:I29)</f>
        <v>128.3</v>
      </c>
      <c r="J31" s="36">
        <f>+SUM(J5:J29)</f>
        <v>97.7</v>
      </c>
      <c r="K31" s="36">
        <f>+SUM(K5:K29)</f>
        <v>68.25</v>
      </c>
      <c r="L31" s="36">
        <f>+SUM(L5:L29)</f>
        <v>43.55</v>
      </c>
      <c r="M31" s="36">
        <f>+SUM(M5:M29)</f>
        <v>43.55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19" t="s">
        <v>164</v>
      </c>
      <c r="C37" s="20" t="s">
        <v>47</v>
      </c>
      <c r="D37" s="20" t="s">
        <v>223</v>
      </c>
      <c r="E37" s="20">
        <v>2005</v>
      </c>
      <c r="F37" s="33">
        <v>1</v>
      </c>
      <c r="G37" s="34">
        <v>2007</v>
      </c>
      <c r="I37" s="31">
        <f>+CEILING(IF($I$35=E37,F37,IF($I$35&lt;=G37,F37*0.3,0)),0.05)</f>
        <v>1</v>
      </c>
      <c r="J37" s="31">
        <f>+CEILING(IF($J$35&lt;=G37,F37*0.3,0),0.05)</f>
        <v>0.30000000000000004</v>
      </c>
      <c r="K37" s="31">
        <f>+CEILING(IF($K$35&lt;=G37,F37*0.3,0),0.05)</f>
        <v>0.30000000000000004</v>
      </c>
      <c r="L37" s="31">
        <f>+CEILING(IF($L$35&lt;=G37,F37*0.3,0),0.05)</f>
        <v>0</v>
      </c>
      <c r="M37" s="31">
        <f>CEILING(IF($M$35&lt;=G37,F37*0.3,0),0.05)</f>
        <v>0</v>
      </c>
    </row>
    <row r="38" spans="1:13" ht="12.75">
      <c r="A38" s="24">
        <v>2</v>
      </c>
      <c r="D38" s="20"/>
      <c r="E38" s="20"/>
      <c r="G38" s="20"/>
      <c r="I38" s="31">
        <f>+CEILING(IF($I$35=E38,F38,IF($I$35&lt;=G38,F38*0.3,0)),0.05)</f>
        <v>0</v>
      </c>
      <c r="J38" s="31">
        <f>+CEILING(IF($J$35&lt;=G38,F38*0.3,0),0.05)</f>
        <v>0</v>
      </c>
      <c r="K38" s="31">
        <f>+CEILING(IF($K$35&lt;=G38,F38*0.3,0),0.05)</f>
        <v>0</v>
      </c>
      <c r="L38" s="31">
        <f>+CEILING(IF($L$35&lt;=G38,F38*0.3,0),0.05)</f>
        <v>0</v>
      </c>
      <c r="M38" s="31">
        <f>CEILING(IF($M$35&lt;=G38,F38*0.3,0),0.05)</f>
        <v>0</v>
      </c>
    </row>
    <row r="39" spans="1:13" ht="12.75">
      <c r="A39" s="24">
        <v>3</v>
      </c>
      <c r="D39" s="20"/>
      <c r="E39" s="20"/>
      <c r="G39" s="20"/>
      <c r="I39" s="31">
        <f>+CEILING(IF($I$35=E39,F39,IF($I$35&lt;=G39,F39*0.3,0)),0.05)</f>
        <v>0</v>
      </c>
      <c r="J39" s="31">
        <f>+CEILING(IF($J$35&lt;=G39,F39*0.3,0),0.05)</f>
        <v>0</v>
      </c>
      <c r="K39" s="31">
        <f>+CEILING(IF($K$35&lt;=G39,F39*0.3,0),0.05)</f>
        <v>0</v>
      </c>
      <c r="L39" s="31">
        <f>+CEILING(IF($L$35&lt;=G39,F39*0.3,0),0.05)</f>
        <v>0</v>
      </c>
      <c r="M39" s="31">
        <f>CEILING(IF($M$35&lt;=G39,F39*0.3,0),0.05)</f>
        <v>0</v>
      </c>
    </row>
    <row r="40" spans="1:13" ht="12.75">
      <c r="A40" s="24">
        <v>4</v>
      </c>
      <c r="D40" s="20"/>
      <c r="E40" s="20"/>
      <c r="G40" s="20"/>
      <c r="I40" s="31">
        <f>+CEILING(IF($I$35=E40,F40,IF($I$35&lt;=G40,F40*0.3,0)),0.05)</f>
        <v>0</v>
      </c>
      <c r="J40" s="31">
        <f>+CEILING(IF($J$35&lt;=G40,F40*0.3,0),0.05)</f>
        <v>0</v>
      </c>
      <c r="K40" s="31">
        <f>+CEILING(IF($K$35&lt;=G40,F40*0.3,0),0.05)</f>
        <v>0</v>
      </c>
      <c r="L40" s="31">
        <f>+CEILING(IF($L$35&lt;=G40,F40*0.3,0),0.05)</f>
        <v>0</v>
      </c>
      <c r="M40" s="31">
        <f>CEILING(IF($M$35&lt;=G40,F40*0.3,0),0.05)</f>
        <v>0</v>
      </c>
    </row>
    <row r="41" spans="1:13" ht="12.75">
      <c r="A41" s="24">
        <v>5</v>
      </c>
      <c r="D41" s="20"/>
      <c r="E41" s="20"/>
      <c r="G41" s="20"/>
      <c r="I41" s="31">
        <f>+CEILING(IF($I$35=E41,F41,IF($I$35&lt;=G41,F41*0.3,0)),0.05)</f>
        <v>0</v>
      </c>
      <c r="J41" s="31">
        <f>+CEILING(IF($J$35&lt;=G41,F41*0.3,0),0.05)</f>
        <v>0</v>
      </c>
      <c r="K41" s="31">
        <f>+CEILING(IF($K$35&lt;=G41,F41*0.3,0),0.05)</f>
        <v>0</v>
      </c>
      <c r="L41" s="31">
        <f>+CEILING(IF($L$35&lt;=G41,F41*0.3,0),0.05)</f>
        <v>0</v>
      </c>
      <c r="M41" s="31">
        <f>CEILING(IF($M$35&lt;=G41,F41*0.3,0),0.05)</f>
        <v>0</v>
      </c>
    </row>
    <row r="42" spans="9:13" ht="7.5" customHeight="1">
      <c r="I42" s="25"/>
      <c r="J42" s="25"/>
      <c r="K42" s="25"/>
      <c r="L42" s="25"/>
      <c r="M42" s="25"/>
    </row>
    <row r="43" spans="9:13" ht="12.75">
      <c r="I43" s="36">
        <f>+SUM(I37:I42)</f>
        <v>1</v>
      </c>
      <c r="J43" s="36">
        <f>+SUM(J37:J42)</f>
        <v>0.30000000000000004</v>
      </c>
      <c r="K43" s="36">
        <f>+SUM(K37:K42)</f>
        <v>0.30000000000000004</v>
      </c>
      <c r="L43" s="36">
        <f>+SUM(L37:L42)</f>
        <v>0</v>
      </c>
      <c r="M43" s="36">
        <f>+SUM(M37:M42)</f>
        <v>0</v>
      </c>
    </row>
    <row r="44" spans="9:13" ht="12.75">
      <c r="I44" s="37"/>
      <c r="J44" s="37"/>
      <c r="K44" s="37"/>
      <c r="L44" s="37"/>
      <c r="M44" s="37"/>
    </row>
    <row r="45" spans="1:13" ht="15.75">
      <c r="A45" s="50" t="s">
        <v>87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9:13" ht="7.5" customHeight="1">
      <c r="I46" s="37"/>
      <c r="J46" s="37"/>
      <c r="K46" s="37"/>
      <c r="L46" s="37"/>
      <c r="M46" s="37"/>
    </row>
    <row r="47" spans="1:13" ht="12.75">
      <c r="A47" s="24"/>
      <c r="B47" s="21" t="s">
        <v>88</v>
      </c>
      <c r="C47" s="22"/>
      <c r="D47" s="22"/>
      <c r="E47" s="22"/>
      <c r="F47" s="22" t="s">
        <v>89</v>
      </c>
      <c r="G47" s="22" t="s">
        <v>27</v>
      </c>
      <c r="I47" s="23">
        <f>+I$3</f>
        <v>2005</v>
      </c>
      <c r="J47" s="23">
        <f>+J$3</f>
        <v>2006</v>
      </c>
      <c r="K47" s="23">
        <f>+K$3</f>
        <v>2007</v>
      </c>
      <c r="L47" s="23">
        <f>+L$3</f>
        <v>2008</v>
      </c>
      <c r="M47" s="23">
        <f>+M$3</f>
        <v>2009</v>
      </c>
    </row>
    <row r="48" spans="1:13" ht="7.5" customHeight="1">
      <c r="A48" s="24"/>
      <c r="I48" s="38"/>
      <c r="J48" s="38"/>
      <c r="K48" s="38"/>
      <c r="L48" s="38"/>
      <c r="M48" s="38"/>
    </row>
    <row r="49" spans="1:13" ht="12.75">
      <c r="A49" s="24">
        <v>1</v>
      </c>
      <c r="B49" s="48" t="s">
        <v>682</v>
      </c>
      <c r="C49" s="48"/>
      <c r="D49" s="48"/>
      <c r="E49" s="48"/>
      <c r="F49" s="27">
        <v>6</v>
      </c>
      <c r="G49" s="20">
        <v>2005</v>
      </c>
      <c r="I49" s="41">
        <v>6</v>
      </c>
      <c r="J49" s="41">
        <v>0</v>
      </c>
      <c r="K49" s="41">
        <v>0</v>
      </c>
      <c r="L49" s="41">
        <v>0</v>
      </c>
      <c r="M49" s="41">
        <v>0</v>
      </c>
    </row>
    <row r="50" spans="1:13" ht="12.75">
      <c r="A50" s="24">
        <v>2</v>
      </c>
      <c r="B50" s="48"/>
      <c r="C50" s="48"/>
      <c r="D50" s="48"/>
      <c r="E50" s="48"/>
      <c r="I50" s="41"/>
      <c r="J50" s="41"/>
      <c r="K50" s="41"/>
      <c r="L50" s="41"/>
      <c r="M50" s="41"/>
    </row>
    <row r="51" spans="1:13" ht="7.5" customHeight="1">
      <c r="A51" s="24"/>
      <c r="I51" s="38"/>
      <c r="J51" s="38"/>
      <c r="K51" s="38"/>
      <c r="L51" s="38"/>
      <c r="M51" s="38"/>
    </row>
    <row r="52" spans="1:13" ht="12.75">
      <c r="A52" s="24"/>
      <c r="I52" s="35">
        <f>+SUM(I49:I51)</f>
        <v>6</v>
      </c>
      <c r="J52" s="35">
        <f>+SUM(J49:J51)</f>
        <v>0</v>
      </c>
      <c r="K52" s="35">
        <f>+SUM(K49:K51)</f>
        <v>0</v>
      </c>
      <c r="L52" s="35">
        <f>+SUM(L49:L51)</f>
        <v>0</v>
      </c>
      <c r="M52" s="35">
        <f>+SUM(M49:M51)</f>
        <v>0</v>
      </c>
    </row>
  </sheetData>
  <sheetProtection/>
  <mergeCells count="5">
    <mergeCell ref="B49:E49"/>
    <mergeCell ref="B50:E50"/>
    <mergeCell ref="A1:M1"/>
    <mergeCell ref="A33:M33"/>
    <mergeCell ref="A45:M4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Light,Bold"&amp;14Jon Peterson&amp;R&amp;"Copperplate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9" customWidth="1"/>
    <col min="2" max="2" width="18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7.5" customHeight="1"/>
    <row r="3" spans="2:13" ht="12.75">
      <c r="B3" s="21" t="s">
        <v>58</v>
      </c>
      <c r="C3" s="22" t="s">
        <v>59</v>
      </c>
      <c r="D3" s="22" t="s">
        <v>1</v>
      </c>
      <c r="E3" s="22" t="s">
        <v>60</v>
      </c>
      <c r="F3" s="22" t="s">
        <v>6</v>
      </c>
      <c r="G3" s="22" t="s">
        <v>61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25" t="s">
        <v>415</v>
      </c>
      <c r="C5" s="20" t="s">
        <v>48</v>
      </c>
      <c r="D5" s="20" t="s">
        <v>95</v>
      </c>
      <c r="E5" s="26" t="s">
        <v>64</v>
      </c>
      <c r="F5" s="28">
        <v>7.9</v>
      </c>
      <c r="G5" s="32">
        <v>2009</v>
      </c>
      <c r="I5" s="31">
        <f aca="true" t="shared" si="0" ref="I5:M14">+IF($G5&gt;=I$3,$F5,0)</f>
        <v>7.9</v>
      </c>
      <c r="J5" s="31">
        <f t="shared" si="0"/>
        <v>7.9</v>
      </c>
      <c r="K5" s="31">
        <f t="shared" si="0"/>
        <v>7.9</v>
      </c>
      <c r="L5" s="31">
        <f t="shared" si="0"/>
        <v>7.9</v>
      </c>
      <c r="M5" s="31">
        <f t="shared" si="0"/>
        <v>7.9</v>
      </c>
    </row>
    <row r="6" spans="1:13" ht="12.75">
      <c r="A6" s="24">
        <v>2</v>
      </c>
      <c r="B6" s="25" t="s">
        <v>444</v>
      </c>
      <c r="C6" s="20" t="s">
        <v>48</v>
      </c>
      <c r="D6" s="20" t="s">
        <v>91</v>
      </c>
      <c r="E6" s="26" t="s">
        <v>64</v>
      </c>
      <c r="F6" s="28">
        <v>1.25</v>
      </c>
      <c r="G6" s="32">
        <v>2009</v>
      </c>
      <c r="I6" s="31">
        <f t="shared" si="0"/>
        <v>1.25</v>
      </c>
      <c r="J6" s="31">
        <f t="shared" si="0"/>
        <v>1.25</v>
      </c>
      <c r="K6" s="31">
        <f t="shared" si="0"/>
        <v>1.25</v>
      </c>
      <c r="L6" s="31">
        <f t="shared" si="0"/>
        <v>1.25</v>
      </c>
      <c r="M6" s="31">
        <f t="shared" si="0"/>
        <v>1.25</v>
      </c>
    </row>
    <row r="7" spans="1:13" ht="12.75">
      <c r="A7" s="24">
        <v>3</v>
      </c>
      <c r="B7" s="25" t="s">
        <v>450</v>
      </c>
      <c r="C7" s="20" t="s">
        <v>53</v>
      </c>
      <c r="D7" s="20" t="s">
        <v>72</v>
      </c>
      <c r="E7" s="26" t="s">
        <v>64</v>
      </c>
      <c r="F7" s="28">
        <v>1.25</v>
      </c>
      <c r="G7" s="32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1.25</v>
      </c>
    </row>
    <row r="8" spans="1:13" ht="12.75">
      <c r="A8" s="24">
        <v>4</v>
      </c>
      <c r="B8" s="25" t="s">
        <v>451</v>
      </c>
      <c r="C8" s="20" t="s">
        <v>49</v>
      </c>
      <c r="D8" s="20" t="s">
        <v>113</v>
      </c>
      <c r="E8" s="26" t="s">
        <v>64</v>
      </c>
      <c r="F8" s="28">
        <v>1.25</v>
      </c>
      <c r="G8" s="32">
        <v>2009</v>
      </c>
      <c r="I8" s="31">
        <f t="shared" si="0"/>
        <v>1.25</v>
      </c>
      <c r="J8" s="31">
        <f t="shared" si="0"/>
        <v>1.25</v>
      </c>
      <c r="K8" s="31">
        <f t="shared" si="0"/>
        <v>1.25</v>
      </c>
      <c r="L8" s="31">
        <f t="shared" si="0"/>
        <v>1.25</v>
      </c>
      <c r="M8" s="31">
        <f t="shared" si="0"/>
        <v>1.25</v>
      </c>
    </row>
    <row r="9" spans="1:13" ht="12.75">
      <c r="A9" s="24">
        <v>5</v>
      </c>
      <c r="B9" s="19" t="s">
        <v>582</v>
      </c>
      <c r="C9" s="20" t="s">
        <v>49</v>
      </c>
      <c r="D9" s="20" t="s">
        <v>138</v>
      </c>
      <c r="E9" s="20" t="s">
        <v>64</v>
      </c>
      <c r="F9" s="33">
        <v>1.25</v>
      </c>
      <c r="G9" s="34">
        <v>2009</v>
      </c>
      <c r="I9" s="31">
        <f t="shared" si="0"/>
        <v>1.25</v>
      </c>
      <c r="J9" s="31">
        <f t="shared" si="0"/>
        <v>1.25</v>
      </c>
      <c r="K9" s="31">
        <f t="shared" si="0"/>
        <v>1.25</v>
      </c>
      <c r="L9" s="31">
        <f t="shared" si="0"/>
        <v>1.25</v>
      </c>
      <c r="M9" s="31">
        <f t="shared" si="0"/>
        <v>1.25</v>
      </c>
    </row>
    <row r="10" spans="1:13" ht="12.75">
      <c r="A10" s="24">
        <v>6</v>
      </c>
      <c r="B10" s="25" t="s">
        <v>215</v>
      </c>
      <c r="C10" s="20" t="s">
        <v>48</v>
      </c>
      <c r="D10" s="20" t="s">
        <v>91</v>
      </c>
      <c r="E10" s="26" t="s">
        <v>64</v>
      </c>
      <c r="F10" s="28">
        <v>6.05</v>
      </c>
      <c r="G10" s="32">
        <v>2008</v>
      </c>
      <c r="I10" s="31">
        <f t="shared" si="0"/>
        <v>6.05</v>
      </c>
      <c r="J10" s="31">
        <f t="shared" si="0"/>
        <v>6.05</v>
      </c>
      <c r="K10" s="31">
        <f t="shared" si="0"/>
        <v>6.05</v>
      </c>
      <c r="L10" s="31">
        <f t="shared" si="0"/>
        <v>6.05</v>
      </c>
      <c r="M10" s="31">
        <f t="shared" si="0"/>
        <v>0</v>
      </c>
    </row>
    <row r="11" spans="1:13" ht="12.75">
      <c r="A11" s="24">
        <v>7</v>
      </c>
      <c r="B11" s="25" t="s">
        <v>185</v>
      </c>
      <c r="C11" s="20" t="s">
        <v>52</v>
      </c>
      <c r="D11" s="20" t="s">
        <v>156</v>
      </c>
      <c r="E11" s="26" t="s">
        <v>64</v>
      </c>
      <c r="F11" s="28">
        <v>4.45</v>
      </c>
      <c r="G11" s="32">
        <v>2008</v>
      </c>
      <c r="I11" s="31">
        <f t="shared" si="0"/>
        <v>4.45</v>
      </c>
      <c r="J11" s="31">
        <f t="shared" si="0"/>
        <v>4.45</v>
      </c>
      <c r="K11" s="31">
        <f t="shared" si="0"/>
        <v>4.45</v>
      </c>
      <c r="L11" s="31">
        <f t="shared" si="0"/>
        <v>4.45</v>
      </c>
      <c r="M11" s="31">
        <f t="shared" si="0"/>
        <v>0</v>
      </c>
    </row>
    <row r="12" spans="1:13" ht="12.75">
      <c r="A12" s="24">
        <v>8</v>
      </c>
      <c r="B12" s="25" t="s">
        <v>183</v>
      </c>
      <c r="C12" s="20" t="s">
        <v>47</v>
      </c>
      <c r="D12" s="20" t="s">
        <v>100</v>
      </c>
      <c r="E12" s="26" t="s">
        <v>64</v>
      </c>
      <c r="F12" s="28">
        <v>3.85</v>
      </c>
      <c r="G12" s="32">
        <v>2008</v>
      </c>
      <c r="I12" s="31">
        <f t="shared" si="0"/>
        <v>3.85</v>
      </c>
      <c r="J12" s="31">
        <f t="shared" si="0"/>
        <v>3.85</v>
      </c>
      <c r="K12" s="31">
        <f t="shared" si="0"/>
        <v>3.85</v>
      </c>
      <c r="L12" s="31">
        <f t="shared" si="0"/>
        <v>3.85</v>
      </c>
      <c r="M12" s="31">
        <f t="shared" si="0"/>
        <v>0</v>
      </c>
    </row>
    <row r="13" spans="1:13" ht="12.75">
      <c r="A13" s="24">
        <v>9</v>
      </c>
      <c r="B13" s="25" t="s">
        <v>172</v>
      </c>
      <c r="C13" s="20" t="s">
        <v>49</v>
      </c>
      <c r="D13" s="20" t="s">
        <v>153</v>
      </c>
      <c r="E13" s="26" t="s">
        <v>64</v>
      </c>
      <c r="F13" s="28">
        <v>12.6</v>
      </c>
      <c r="G13" s="32">
        <v>2007</v>
      </c>
      <c r="I13" s="31">
        <f t="shared" si="0"/>
        <v>12.6</v>
      </c>
      <c r="J13" s="31">
        <f t="shared" si="0"/>
        <v>12.6</v>
      </c>
      <c r="K13" s="31">
        <f t="shared" si="0"/>
        <v>12.6</v>
      </c>
      <c r="L13" s="31">
        <f t="shared" si="0"/>
        <v>0</v>
      </c>
      <c r="M13" s="31">
        <f t="shared" si="0"/>
        <v>0</v>
      </c>
    </row>
    <row r="14" spans="1:13" ht="12.75">
      <c r="A14" s="24">
        <v>10</v>
      </c>
      <c r="B14" s="19" t="s">
        <v>459</v>
      </c>
      <c r="C14" s="20" t="s">
        <v>53</v>
      </c>
      <c r="D14" s="20" t="s">
        <v>98</v>
      </c>
      <c r="E14" s="20" t="s">
        <v>64</v>
      </c>
      <c r="F14" s="33">
        <v>3.3</v>
      </c>
      <c r="G14" s="34">
        <v>2007</v>
      </c>
      <c r="I14" s="31">
        <f t="shared" si="0"/>
        <v>3.3</v>
      </c>
      <c r="J14" s="31">
        <f t="shared" si="0"/>
        <v>3.3</v>
      </c>
      <c r="K14" s="31">
        <f t="shared" si="0"/>
        <v>3.3</v>
      </c>
      <c r="L14" s="31">
        <f t="shared" si="0"/>
        <v>0</v>
      </c>
      <c r="M14" s="31">
        <f t="shared" si="0"/>
        <v>0</v>
      </c>
    </row>
    <row r="15" spans="1:13" ht="12.75">
      <c r="A15" s="24">
        <v>11</v>
      </c>
      <c r="B15" s="25" t="s">
        <v>175</v>
      </c>
      <c r="C15" s="20" t="s">
        <v>49</v>
      </c>
      <c r="D15" s="20" t="s">
        <v>76</v>
      </c>
      <c r="E15" s="26" t="s">
        <v>64</v>
      </c>
      <c r="F15" s="28">
        <v>2</v>
      </c>
      <c r="G15" s="32">
        <v>2007</v>
      </c>
      <c r="I15" s="31">
        <f aca="true" t="shared" si="1" ref="I15:M29">+IF($G15&gt;=I$3,$F15,0)</f>
        <v>2</v>
      </c>
      <c r="J15" s="31">
        <f t="shared" si="1"/>
        <v>2</v>
      </c>
      <c r="K15" s="31">
        <f t="shared" si="1"/>
        <v>2</v>
      </c>
      <c r="L15" s="31">
        <f t="shared" si="1"/>
        <v>0</v>
      </c>
      <c r="M15" s="31">
        <f t="shared" si="1"/>
        <v>0</v>
      </c>
    </row>
    <row r="16" spans="1:13" ht="12.75">
      <c r="A16" s="24">
        <v>12</v>
      </c>
      <c r="B16" s="25" t="s">
        <v>176</v>
      </c>
      <c r="C16" s="20" t="s">
        <v>50</v>
      </c>
      <c r="D16" s="20" t="s">
        <v>91</v>
      </c>
      <c r="E16" s="26" t="s">
        <v>64</v>
      </c>
      <c r="F16" s="28">
        <v>1</v>
      </c>
      <c r="G16" s="32">
        <v>2007</v>
      </c>
      <c r="I16" s="31">
        <f t="shared" si="1"/>
        <v>1</v>
      </c>
      <c r="J16" s="31">
        <f t="shared" si="1"/>
        <v>1</v>
      </c>
      <c r="K16" s="31">
        <f t="shared" si="1"/>
        <v>1</v>
      </c>
      <c r="L16" s="31">
        <f t="shared" si="1"/>
        <v>0</v>
      </c>
      <c r="M16" s="31">
        <f t="shared" si="1"/>
        <v>0</v>
      </c>
    </row>
    <row r="17" spans="1:13" ht="12.75">
      <c r="A17" s="24">
        <v>13</v>
      </c>
      <c r="B17" s="25" t="s">
        <v>495</v>
      </c>
      <c r="C17" s="20" t="s">
        <v>49</v>
      </c>
      <c r="D17" s="20" t="s">
        <v>78</v>
      </c>
      <c r="E17" s="26" t="s">
        <v>64</v>
      </c>
      <c r="F17" s="28">
        <v>24.2</v>
      </c>
      <c r="G17" s="32">
        <v>2006</v>
      </c>
      <c r="I17" s="31">
        <f t="shared" si="1"/>
        <v>24.2</v>
      </c>
      <c r="J17" s="31">
        <f t="shared" si="1"/>
        <v>24.2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4">
        <v>14</v>
      </c>
      <c r="B18" s="25" t="s">
        <v>465</v>
      </c>
      <c r="C18" s="20" t="s">
        <v>52</v>
      </c>
      <c r="D18" s="20" t="s">
        <v>98</v>
      </c>
      <c r="E18" s="26" t="s">
        <v>64</v>
      </c>
      <c r="F18" s="28">
        <v>5.75</v>
      </c>
      <c r="G18" s="32">
        <v>2006</v>
      </c>
      <c r="I18" s="31">
        <f t="shared" si="1"/>
        <v>5.75</v>
      </c>
      <c r="J18" s="31">
        <f t="shared" si="1"/>
        <v>5.75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4">
        <v>15</v>
      </c>
      <c r="B19" s="19" t="s">
        <v>187</v>
      </c>
      <c r="C19" s="20" t="s">
        <v>47</v>
      </c>
      <c r="D19" s="20" t="s">
        <v>99</v>
      </c>
      <c r="E19" s="20" t="s">
        <v>64</v>
      </c>
      <c r="F19" s="33">
        <v>2</v>
      </c>
      <c r="G19" s="34">
        <v>2006</v>
      </c>
      <c r="I19" s="31">
        <f t="shared" si="1"/>
        <v>2</v>
      </c>
      <c r="J19" s="31">
        <f t="shared" si="1"/>
        <v>2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4">
        <v>16</v>
      </c>
      <c r="B20" s="25" t="s">
        <v>520</v>
      </c>
      <c r="C20" s="20" t="s">
        <v>53</v>
      </c>
      <c r="D20" s="20" t="s">
        <v>98</v>
      </c>
      <c r="E20" s="26" t="s">
        <v>64</v>
      </c>
      <c r="F20" s="28">
        <v>1.25</v>
      </c>
      <c r="G20" s="32">
        <v>2006</v>
      </c>
      <c r="I20" s="31">
        <f t="shared" si="1"/>
        <v>1.25</v>
      </c>
      <c r="J20" s="31">
        <f t="shared" si="1"/>
        <v>1.25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4">
        <v>17</v>
      </c>
      <c r="B21" s="19" t="s">
        <v>379</v>
      </c>
      <c r="C21" s="20" t="s">
        <v>51</v>
      </c>
      <c r="D21" s="20" t="s">
        <v>153</v>
      </c>
      <c r="E21" s="20" t="s">
        <v>64</v>
      </c>
      <c r="F21" s="33">
        <v>1.1</v>
      </c>
      <c r="G21" s="34">
        <v>2006</v>
      </c>
      <c r="I21" s="31">
        <f t="shared" si="1"/>
        <v>1.1</v>
      </c>
      <c r="J21" s="31">
        <f t="shared" si="1"/>
        <v>1.1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4">
        <v>18</v>
      </c>
      <c r="B22" s="19" t="s">
        <v>390</v>
      </c>
      <c r="C22" s="20" t="s">
        <v>51</v>
      </c>
      <c r="D22" s="20" t="s">
        <v>118</v>
      </c>
      <c r="E22" s="26" t="s">
        <v>64</v>
      </c>
      <c r="F22" s="28">
        <v>1.1</v>
      </c>
      <c r="G22" s="32">
        <v>2006</v>
      </c>
      <c r="I22" s="31">
        <f t="shared" si="1"/>
        <v>1.1</v>
      </c>
      <c r="J22" s="31">
        <f t="shared" si="1"/>
        <v>1.1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4">
        <v>19</v>
      </c>
      <c r="B23" s="19" t="s">
        <v>179</v>
      </c>
      <c r="C23" s="20" t="s">
        <v>52</v>
      </c>
      <c r="D23" s="20" t="s">
        <v>138</v>
      </c>
      <c r="E23" s="20" t="s">
        <v>64</v>
      </c>
      <c r="F23" s="33">
        <v>1</v>
      </c>
      <c r="G23" s="34">
        <v>2006</v>
      </c>
      <c r="I23" s="31">
        <f t="shared" si="1"/>
        <v>1</v>
      </c>
      <c r="J23" s="31">
        <f t="shared" si="1"/>
        <v>1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4">
        <v>20</v>
      </c>
      <c r="B24" s="25" t="s">
        <v>166</v>
      </c>
      <c r="C24" s="20" t="s">
        <v>49</v>
      </c>
      <c r="D24" s="20" t="s">
        <v>73</v>
      </c>
      <c r="E24" s="26" t="s">
        <v>64</v>
      </c>
      <c r="F24" s="28">
        <v>20.3</v>
      </c>
      <c r="G24" s="32">
        <v>2005</v>
      </c>
      <c r="I24" s="31">
        <f t="shared" si="1"/>
        <v>20.3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4">
        <v>21</v>
      </c>
      <c r="B25" s="19" t="s">
        <v>541</v>
      </c>
      <c r="C25" s="20" t="s">
        <v>48</v>
      </c>
      <c r="D25" s="20" t="s">
        <v>95</v>
      </c>
      <c r="E25" s="20" t="s">
        <v>64</v>
      </c>
      <c r="F25" s="33">
        <v>7</v>
      </c>
      <c r="G25" s="34">
        <v>2005</v>
      </c>
      <c r="I25" s="31">
        <f t="shared" si="1"/>
        <v>7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4">
        <v>22</v>
      </c>
      <c r="B26" s="25" t="s">
        <v>180</v>
      </c>
      <c r="C26" s="20" t="s">
        <v>48</v>
      </c>
      <c r="D26" s="20" t="s">
        <v>99</v>
      </c>
      <c r="E26" s="26" t="s">
        <v>64</v>
      </c>
      <c r="F26" s="28">
        <v>4.65</v>
      </c>
      <c r="G26" s="32">
        <v>2005</v>
      </c>
      <c r="I26" s="31">
        <f t="shared" si="1"/>
        <v>4.65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4">
        <v>23</v>
      </c>
      <c r="B27" s="25" t="s">
        <v>181</v>
      </c>
      <c r="C27" s="20" t="s">
        <v>52</v>
      </c>
      <c r="D27" s="20" t="s">
        <v>77</v>
      </c>
      <c r="E27" s="26" t="s">
        <v>64</v>
      </c>
      <c r="F27" s="28">
        <v>3.8</v>
      </c>
      <c r="G27" s="32">
        <v>2005</v>
      </c>
      <c r="I27" s="31">
        <f t="shared" si="1"/>
        <v>3.8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4">
        <v>24</v>
      </c>
      <c r="B28" s="25" t="s">
        <v>167</v>
      </c>
      <c r="C28" s="20" t="s">
        <v>52</v>
      </c>
      <c r="D28" s="20" t="s">
        <v>72</v>
      </c>
      <c r="E28" s="26" t="s">
        <v>64</v>
      </c>
      <c r="F28" s="28">
        <v>2.4</v>
      </c>
      <c r="G28" s="32">
        <v>2005</v>
      </c>
      <c r="I28" s="31">
        <f t="shared" si="1"/>
        <v>2.4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4">
        <v>25</v>
      </c>
      <c r="B29" s="25" t="s">
        <v>581</v>
      </c>
      <c r="C29" s="20" t="s">
        <v>52</v>
      </c>
      <c r="D29" s="20" t="s">
        <v>78</v>
      </c>
      <c r="E29" s="26" t="s">
        <v>64</v>
      </c>
      <c r="F29" s="28">
        <v>1.25</v>
      </c>
      <c r="G29" s="32">
        <v>2005</v>
      </c>
      <c r="I29" s="31">
        <f t="shared" si="1"/>
        <v>1.25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5"/>
      <c r="J30" s="25"/>
      <c r="K30" s="25"/>
      <c r="L30" s="25"/>
      <c r="M30" s="25"/>
    </row>
    <row r="31" spans="2:13" ht="12.75">
      <c r="B31" s="25"/>
      <c r="D31" s="20"/>
      <c r="E31" s="26"/>
      <c r="F31" s="28"/>
      <c r="G31" s="32"/>
      <c r="I31" s="36">
        <f>+SUM(I5:I29)</f>
        <v>121.94999999999999</v>
      </c>
      <c r="J31" s="36">
        <f>+SUM(J5:J29)</f>
        <v>82.54999999999998</v>
      </c>
      <c r="K31" s="36">
        <f>+SUM(K5:K29)</f>
        <v>46.15</v>
      </c>
      <c r="L31" s="36">
        <f>+SUM(L5:L29)</f>
        <v>27.25</v>
      </c>
      <c r="M31" s="36">
        <f>+SUM(M5:M29)</f>
        <v>12.9</v>
      </c>
    </row>
    <row r="33" spans="1:13" ht="15.75">
      <c r="A33" s="50" t="s">
        <v>395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7.5" customHeight="1"/>
    <row r="35" spans="2:13" ht="12.75">
      <c r="B35" s="21" t="s">
        <v>58</v>
      </c>
      <c r="C35" s="22" t="s">
        <v>59</v>
      </c>
      <c r="D35" s="22" t="s">
        <v>1</v>
      </c>
      <c r="E35" s="22" t="s">
        <v>86</v>
      </c>
      <c r="F35" s="22" t="s">
        <v>6</v>
      </c>
      <c r="G35" s="22" t="s">
        <v>61</v>
      </c>
      <c r="I35" s="23">
        <f>+I$3</f>
        <v>2005</v>
      </c>
      <c r="J35" s="23">
        <f>+J$3</f>
        <v>2006</v>
      </c>
      <c r="K35" s="23">
        <f>+K$3</f>
        <v>2007</v>
      </c>
      <c r="L35" s="23">
        <f>+L$3</f>
        <v>2008</v>
      </c>
      <c r="M35" s="23">
        <f>+M$3</f>
        <v>2009</v>
      </c>
    </row>
    <row r="36" spans="2:6" ht="7.5" customHeight="1">
      <c r="B36" s="21"/>
      <c r="C36" s="23"/>
      <c r="E36" s="23"/>
      <c r="F36" s="23"/>
    </row>
    <row r="37" spans="1:13" ht="12.75">
      <c r="A37" s="24">
        <v>1</v>
      </c>
      <c r="B37" s="25" t="s">
        <v>186</v>
      </c>
      <c r="C37" s="20" t="s">
        <v>48</v>
      </c>
      <c r="D37" s="20" t="s">
        <v>146</v>
      </c>
      <c r="E37" s="26">
        <v>2003</v>
      </c>
      <c r="F37" s="28">
        <v>25.6</v>
      </c>
      <c r="G37" s="32">
        <v>2005</v>
      </c>
      <c r="I37" s="31">
        <f aca="true" t="shared" si="2" ref="I37:I44">+CEILING(IF($I$35=E37,F37,IF($I$35&lt;=G37,F37*0.3,0)),0.05)</f>
        <v>7.7</v>
      </c>
      <c r="J37" s="31">
        <f aca="true" t="shared" si="3" ref="J37:J44">+CEILING(IF($J$35&lt;=G37,F37*0.3,0),0.05)</f>
        <v>0</v>
      </c>
      <c r="K37" s="31">
        <f aca="true" t="shared" si="4" ref="K37:K44">+CEILING(IF($K$35&lt;=G37,F37*0.3,0),0.05)</f>
        <v>0</v>
      </c>
      <c r="L37" s="31">
        <f aca="true" t="shared" si="5" ref="L37:L44">+CEILING(IF($L$35&lt;=G37,F37*0.3,0),0.05)</f>
        <v>0</v>
      </c>
      <c r="M37" s="31">
        <f aca="true" t="shared" si="6" ref="M37:M44">CEILING(IF($M$35&lt;=G37,F37*0.3,0),0.05)</f>
        <v>0</v>
      </c>
    </row>
    <row r="38" spans="1:13" ht="12.75">
      <c r="A38" s="24">
        <v>2</v>
      </c>
      <c r="B38" s="25" t="s">
        <v>222</v>
      </c>
      <c r="C38" s="20" t="s">
        <v>52</v>
      </c>
      <c r="D38" s="20" t="s">
        <v>223</v>
      </c>
      <c r="E38" s="26">
        <v>2005</v>
      </c>
      <c r="F38" s="28">
        <v>3.3</v>
      </c>
      <c r="G38" s="32">
        <v>2005</v>
      </c>
      <c r="I38" s="31">
        <f t="shared" si="2"/>
        <v>3.3000000000000003</v>
      </c>
      <c r="J38" s="31">
        <f t="shared" si="3"/>
        <v>0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4">
        <v>3</v>
      </c>
      <c r="B39" s="25" t="s">
        <v>182</v>
      </c>
      <c r="C39" s="20" t="s">
        <v>52</v>
      </c>
      <c r="D39" s="20" t="s">
        <v>70</v>
      </c>
      <c r="E39" s="26">
        <v>2005</v>
      </c>
      <c r="F39" s="28">
        <v>3.15</v>
      </c>
      <c r="G39" s="32">
        <v>2005</v>
      </c>
      <c r="I39" s="31">
        <f t="shared" si="2"/>
        <v>3.1500000000000004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4">
        <v>4</v>
      </c>
      <c r="B40" s="19" t="s">
        <v>389</v>
      </c>
      <c r="C40" s="20" t="s">
        <v>52</v>
      </c>
      <c r="D40" s="20" t="s">
        <v>72</v>
      </c>
      <c r="E40" s="26">
        <v>2005</v>
      </c>
      <c r="F40" s="28">
        <v>1.7</v>
      </c>
      <c r="G40" s="32">
        <v>2005</v>
      </c>
      <c r="I40" s="31">
        <f t="shared" si="2"/>
        <v>1.7000000000000002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4">
        <v>5</v>
      </c>
      <c r="D41" s="20"/>
      <c r="E41" s="20"/>
      <c r="F41" s="33"/>
      <c r="G41" s="34"/>
      <c r="I41" s="31">
        <f t="shared" si="2"/>
        <v>0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4">
        <v>6</v>
      </c>
      <c r="D42" s="20"/>
      <c r="E42" s="20"/>
      <c r="F42" s="33"/>
      <c r="G42" s="34"/>
      <c r="I42" s="31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4">
        <v>7</v>
      </c>
      <c r="D43" s="20"/>
      <c r="E43" s="20"/>
      <c r="F43" s="33"/>
      <c r="G43" s="34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4">
        <v>8</v>
      </c>
      <c r="D44" s="20"/>
      <c r="E44" s="20"/>
      <c r="F44" s="33"/>
      <c r="G44" s="34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9:13" ht="7.5" customHeight="1">
      <c r="I45" s="25"/>
      <c r="J45" s="25"/>
      <c r="K45" s="25"/>
      <c r="L45" s="25"/>
      <c r="M45" s="25"/>
    </row>
    <row r="46" spans="9:13" ht="12.75">
      <c r="I46" s="36">
        <f>+SUM(I37:I45)</f>
        <v>15.850000000000001</v>
      </c>
      <c r="J46" s="36">
        <f>+SUM(J37:J45)</f>
        <v>0</v>
      </c>
      <c r="K46" s="36">
        <f>+SUM(K37:K45)</f>
        <v>0</v>
      </c>
      <c r="L46" s="36">
        <f>+SUM(L37:L45)</f>
        <v>0</v>
      </c>
      <c r="M46" s="36">
        <f>+SUM(M37:M45)</f>
        <v>0</v>
      </c>
    </row>
    <row r="47" spans="9:13" ht="12.75">
      <c r="I47" s="37"/>
      <c r="J47" s="37"/>
      <c r="K47" s="37"/>
      <c r="L47" s="37"/>
      <c r="M47" s="37"/>
    </row>
    <row r="48" spans="1:13" ht="15.75">
      <c r="A48" s="50" t="s">
        <v>87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9:13" ht="7.5" customHeight="1">
      <c r="I49" s="37"/>
      <c r="J49" s="37"/>
      <c r="K49" s="37"/>
      <c r="L49" s="37"/>
      <c r="M49" s="37"/>
    </row>
    <row r="50" spans="1:13" ht="12.75">
      <c r="A50" s="24"/>
      <c r="B50" s="21" t="s">
        <v>88</v>
      </c>
      <c r="C50" s="22"/>
      <c r="D50" s="22"/>
      <c r="E50" s="22"/>
      <c r="F50" s="22" t="s">
        <v>89</v>
      </c>
      <c r="G50" s="22" t="s">
        <v>27</v>
      </c>
      <c r="I50" s="23">
        <f>+I$3</f>
        <v>2005</v>
      </c>
      <c r="J50" s="23">
        <f>+J$3</f>
        <v>2006</v>
      </c>
      <c r="K50" s="23">
        <f>+K$3</f>
        <v>2007</v>
      </c>
      <c r="L50" s="23">
        <f>+L$3</f>
        <v>2008</v>
      </c>
      <c r="M50" s="23">
        <f>+M$3</f>
        <v>2009</v>
      </c>
    </row>
    <row r="51" spans="1:13" ht="7.5" customHeight="1">
      <c r="A51" s="24"/>
      <c r="I51" s="38"/>
      <c r="J51" s="38"/>
      <c r="K51" s="38"/>
      <c r="L51" s="38"/>
      <c r="M51" s="38"/>
    </row>
    <row r="52" spans="1:13" ht="12.75">
      <c r="A52" s="24">
        <v>1</v>
      </c>
      <c r="B52" s="48" t="s">
        <v>683</v>
      </c>
      <c r="C52" s="48"/>
      <c r="D52" s="48"/>
      <c r="E52" s="48"/>
      <c r="F52" s="27">
        <v>-6</v>
      </c>
      <c r="G52" s="20">
        <v>2005</v>
      </c>
      <c r="I52" s="39">
        <v>-6</v>
      </c>
      <c r="J52" s="39">
        <v>0</v>
      </c>
      <c r="K52" s="39">
        <v>0</v>
      </c>
      <c r="L52" s="39">
        <v>0</v>
      </c>
      <c r="M52" s="39">
        <v>0</v>
      </c>
    </row>
    <row r="53" spans="1:13" ht="12.75">
      <c r="A53" s="24">
        <v>2</v>
      </c>
      <c r="B53" s="48"/>
      <c r="C53" s="48"/>
      <c r="D53" s="48"/>
      <c r="E53" s="48"/>
      <c r="F53" s="27"/>
      <c r="G53" s="20"/>
      <c r="I53" s="41">
        <v>0</v>
      </c>
      <c r="J53" s="41">
        <v>0</v>
      </c>
      <c r="K53" s="41">
        <v>0</v>
      </c>
      <c r="L53" s="41">
        <v>0</v>
      </c>
      <c r="M53" s="41">
        <v>0</v>
      </c>
    </row>
    <row r="54" spans="1:13" ht="7.5" customHeight="1">
      <c r="A54" s="24"/>
      <c r="I54" s="38"/>
      <c r="J54" s="38"/>
      <c r="K54" s="38"/>
      <c r="L54" s="38"/>
      <c r="M54" s="38"/>
    </row>
    <row r="55" spans="1:13" ht="12.75">
      <c r="A55" s="24"/>
      <c r="I55" s="35">
        <f>+SUM(I52:I54)</f>
        <v>-6</v>
      </c>
      <c r="J55" s="35">
        <f>+SUM(J52:J54)</f>
        <v>0</v>
      </c>
      <c r="K55" s="35">
        <f>+SUM(K52:K54)</f>
        <v>0</v>
      </c>
      <c r="L55" s="35">
        <f>+SUM(L52:L54)</f>
        <v>0</v>
      </c>
      <c r="M55" s="35">
        <f>+SUM(M52:M54)</f>
        <v>0</v>
      </c>
    </row>
  </sheetData>
  <sheetProtection/>
  <mergeCells count="5">
    <mergeCell ref="B52:E52"/>
    <mergeCell ref="B53:E53"/>
    <mergeCell ref="A1:M1"/>
    <mergeCell ref="A33:M33"/>
    <mergeCell ref="A48:M48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2006-02-11T21:54:44Z</cp:lastPrinted>
  <dcterms:created xsi:type="dcterms:W3CDTF">2002-01-02T00:23:28Z</dcterms:created>
  <dcterms:modified xsi:type="dcterms:W3CDTF">2014-11-15T23:08:23Z</dcterms:modified>
  <cp:category/>
  <cp:version/>
  <cp:contentType/>
  <cp:contentStatus/>
</cp:coreProperties>
</file>